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95" windowWidth="15480" windowHeight="5940" tabRatio="418" activeTab="0"/>
  </bookViews>
  <sheets>
    <sheet name="SUMMARY" sheetId="1" r:id="rId1"/>
    <sheet name="HTHW Usage" sheetId="2" r:id="rId2"/>
    <sheet name="Electric" sheetId="3" r:id="rId3"/>
    <sheet name="Nat Gas Usage" sheetId="4" r:id="rId4"/>
    <sheet name="Water Usage" sheetId="5" r:id="rId5"/>
    <sheet name="Monthly Cost Figure" sheetId="6" r:id="rId6"/>
    <sheet name="Monthly Use Figure" sheetId="7" r:id="rId7"/>
    <sheet name="Rates" sheetId="8" r:id="rId8"/>
  </sheets>
  <definedNames>
    <definedName name="_xlnm.Print_Area" localSheetId="2">'Electric'!$A$31:$P$104</definedName>
    <definedName name="_xlnm.Print_Area" localSheetId="1">'HTHW Usage'!$A$44:$H$104</definedName>
    <definedName name="_xlnm.Print_Area" localSheetId="3">'Nat Gas Usage'!$B$43:$I$104</definedName>
    <definedName name="_xlnm.Print_Area" localSheetId="7">'Rates'!$B$1:$G$45</definedName>
    <definedName name="_xlnm.Print_Area" localSheetId="0">'SUMMARY'!$B$67:$I$109</definedName>
    <definedName name="_xlnm.Print_Area" localSheetId="4">'Water Usage'!$A$32:$M$105</definedName>
    <definedName name="_xlnm.Print_Titles" localSheetId="2">'Electric'!$1:$5</definedName>
    <definedName name="_xlnm.Print_Titles" localSheetId="1">'HTHW Usage'!$1:$6</definedName>
    <definedName name="_xlnm.Print_Titles" localSheetId="3">'Nat Gas Usage'!$1:$5</definedName>
    <definedName name="_xlnm.Print_Titles" localSheetId="0">'SUMMARY'!$1:$5</definedName>
    <definedName name="_xlnm.Print_Titles" localSheetId="4">'Water Usage'!$1:$6</definedName>
  </definedNames>
  <calcPr fullCalcOnLoad="1"/>
</workbook>
</file>

<file path=xl/sharedStrings.xml><?xml version="1.0" encoding="utf-8"?>
<sst xmlns="http://schemas.openxmlformats.org/spreadsheetml/2006/main" count="338" uniqueCount="107">
  <si>
    <t>Billing</t>
  </si>
  <si>
    <t>Month</t>
  </si>
  <si>
    <t>Date of</t>
  </si>
  <si>
    <t>Meter Reading</t>
  </si>
  <si>
    <t>Consumption</t>
  </si>
  <si>
    <t>Unit Costs</t>
  </si>
  <si>
    <t>Total Monthly</t>
  </si>
  <si>
    <t>Cost</t>
  </si>
  <si>
    <t>Measurement</t>
  </si>
  <si>
    <t>Method</t>
  </si>
  <si>
    <t>$ / MMbtu</t>
  </si>
  <si>
    <t>MMBtu</t>
  </si>
  <si>
    <t>Boiler Efficiency</t>
  </si>
  <si>
    <t>High Temperature Hot Water MMBTU Cost Calculation</t>
  </si>
  <si>
    <t>Cost per MMBTU</t>
  </si>
  <si>
    <t>ADD</t>
  </si>
  <si>
    <t>Notes</t>
  </si>
  <si>
    <t>Item</t>
  </si>
  <si>
    <t>TOTAL Cost</t>
  </si>
  <si>
    <t>Add cost for distribution system losses</t>
  </si>
  <si>
    <t>MCF</t>
  </si>
  <si>
    <t>cu. Ft. x 100</t>
  </si>
  <si>
    <t>gal. X 1000</t>
  </si>
  <si>
    <t>cubic feet</t>
  </si>
  <si>
    <t>Unit Cost</t>
  </si>
  <si>
    <t>$ / cu ft</t>
  </si>
  <si>
    <t>Demand</t>
  </si>
  <si>
    <t>$ / kWhr</t>
  </si>
  <si>
    <t>Add cost to run power house: pumping power, labor, and maint.</t>
  </si>
  <si>
    <t>Electricity</t>
  </si>
  <si>
    <t>Natural Gas</t>
  </si>
  <si>
    <t>Monthly Totals</t>
  </si>
  <si>
    <t>HTHW</t>
  </si>
  <si>
    <t>Monthly Utility Cost Summary</t>
  </si>
  <si>
    <t>High Temperature Hot Water Consumption &amp; Cost</t>
  </si>
  <si>
    <t>Natural Gas Consumption &amp; Cost</t>
  </si>
  <si>
    <t>Electricity Consumption &amp; Cost</t>
  </si>
  <si>
    <t>Water and Sewer Consumption &amp; Costs</t>
  </si>
  <si>
    <t>prepared by Jim Leidel - Campus Energy Manager</t>
  </si>
  <si>
    <t>Add cost for metering, data collection, analysis, &amp; billing</t>
  </si>
  <si>
    <t>Natural Gas Cost</t>
  </si>
  <si>
    <t>Add cost to convert natural gas to hot water, boiler losses</t>
  </si>
  <si>
    <t>Recorded by Honeywell system.</t>
  </si>
  <si>
    <t>the FY00 and FY01 actual numbers</t>
  </si>
  <si>
    <t>for June.</t>
  </si>
  <si>
    <t>Numbers in Red are Estimates</t>
  </si>
  <si>
    <t>Values in Red are Estimates</t>
  </si>
  <si>
    <t xml:space="preserve">Averaged Annual Gas Cost </t>
  </si>
  <si>
    <t>per MMBtu</t>
  </si>
  <si>
    <t>Transportation cost to OU</t>
  </si>
  <si>
    <t>Total cost</t>
  </si>
  <si>
    <t>Conversion to MCF</t>
  </si>
  <si>
    <t>TOTAL RATE</t>
  </si>
  <si>
    <t>per MCF</t>
  </si>
  <si>
    <t>kW</t>
  </si>
  <si>
    <t>Reading</t>
  </si>
  <si>
    <t>Electricity Average Cost</t>
  </si>
  <si>
    <t>per kW-hour</t>
  </si>
  <si>
    <t>Water &amp; Sewer</t>
  </si>
  <si>
    <t>OU Auxiliary Utility Rates</t>
  </si>
  <si>
    <t>Electric Rate</t>
  </si>
  <si>
    <t>For Reference:  Detroit Edison - General Service Rate D3 = $0.0995 per kW-hour</t>
  </si>
  <si>
    <t>Natural Gas Rate</t>
  </si>
  <si>
    <t>per CCF</t>
  </si>
  <si>
    <t>CCF = 100 Cubic Feet,  MCF = Million Cubic Feet,  MMBTU = Million British Thermal Units</t>
  </si>
  <si>
    <t>Consumers Energy bill in CCF, so this unit is used for the SA for comparison to the Consumers billings</t>
  </si>
  <si>
    <t>Water &amp; Sewer Rate</t>
  </si>
  <si>
    <t xml:space="preserve">Auburn Hills Water Cost </t>
  </si>
  <si>
    <t>per cubic feet</t>
  </si>
  <si>
    <t>Auburn Hills Sewer Cost</t>
  </si>
  <si>
    <t>Central Plant O&amp;M</t>
  </si>
  <si>
    <t>Distribution System Eff.</t>
  </si>
  <si>
    <t>Raw fuel input to boilers = avg annual gas cost + transp to OU</t>
  </si>
  <si>
    <t>Oakland Center</t>
  </si>
  <si>
    <t>OC Portion Quarterly Totals</t>
  </si>
  <si>
    <t>OC Portion Monthly Totals</t>
  </si>
  <si>
    <t>OC Partial</t>
  </si>
  <si>
    <t>BTU Meter in Tunnel</t>
  </si>
  <si>
    <t>North Meter</t>
  </si>
  <si>
    <t>Usage</t>
  </si>
  <si>
    <t>(kWhr)</t>
  </si>
  <si>
    <t>Old South Meter</t>
  </si>
  <si>
    <t>New South Meter (Expansion)</t>
  </si>
  <si>
    <t>TOTAL</t>
  </si>
  <si>
    <t>kWhr</t>
  </si>
  <si>
    <t>$ / MCF</t>
  </si>
  <si>
    <t>=correction factor, 15psig to standard conditions</t>
  </si>
  <si>
    <t>gallons</t>
  </si>
  <si>
    <t>South Water Meter</t>
  </si>
  <si>
    <t>Note:</t>
  </si>
  <si>
    <t>1.  The OC Expansion electric meter was not installed until mid December of 2003.  Once several months of data is available from the new</t>
  </si>
  <si>
    <t>2.  The OC Expansion project omitted the water meter installation from the main, south mechanical room.</t>
  </si>
  <si>
    <t>Note 2:  OC Expansion electric meter was installed in late 2003 but has not yet been made functional by project electrician</t>
  </si>
  <si>
    <t>meter, a September - December estimate will be made.</t>
  </si>
  <si>
    <t>gal. X 100</t>
  </si>
  <si>
    <t>A meter was installed August 14, 2004</t>
  </si>
  <si>
    <t>Transportation cost to Auxiliary</t>
  </si>
  <si>
    <t>North Water Meter (Controltron)</t>
  </si>
  <si>
    <t>MMBtu per MCF</t>
  </si>
  <si>
    <t>OFF</t>
  </si>
  <si>
    <t>Total</t>
  </si>
  <si>
    <t>cu feet</t>
  </si>
  <si>
    <t>(numbers in red are estimates)</t>
  </si>
  <si>
    <t>FY Total</t>
  </si>
  <si>
    <t>Meter Not Read Due to Consruction, Nov 08 Jan 09 and Mar 09</t>
  </si>
  <si>
    <t>Metering &amp; Disrib. O&amp;M</t>
  </si>
  <si>
    <t>FY 2011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</si>
</sst>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0"/>
    <numFmt numFmtId="166" formatCode="&quot;$&quot;#,##0.00"/>
    <numFmt numFmtId="167" formatCode="0.0%"/>
    <numFmt numFmtId="168" formatCode="_(&quot;$&quot;* #,##0.0000_);_(&quot;$&quot;* \(#,##0.0000\);_(&quot;$&quot;* &quot;-&quot;????_);_(@_)"/>
    <numFmt numFmtId="169" formatCode="#,##0.000"/>
    <numFmt numFmtId="170" formatCode="&quot;$&quot;#,##0.0000"/>
    <numFmt numFmtId="171" formatCode="_(&quot;$&quot;* #,##0.000000_);_(&quot;$&quot;* \(#,##0.000000\);_(&quot;$&quot;* &quot;-&quot;??????_);_(@_)"/>
    <numFmt numFmtId="172" formatCode="#,##0.0"/>
    <numFmt numFmtId="173" formatCode="0.0"/>
    <numFmt numFmtId="174" formatCode="_(&quot;$&quot;* #,##0.000_);_(&quot;$&quot;* \(#,##0.000\);_(&quot;$&quot;* &quot;-&quot;???_);_(@_)"/>
    <numFmt numFmtId="175" formatCode="[$-409]mmm\-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.75"/>
      <color indexed="8"/>
      <name val="Arial"/>
      <family val="0"/>
    </font>
    <font>
      <b/>
      <sz val="12"/>
      <color indexed="8"/>
      <name val="Arial"/>
      <family val="0"/>
    </font>
    <font>
      <b/>
      <sz val="19"/>
      <color indexed="8"/>
      <name val="Arial"/>
      <family val="0"/>
    </font>
    <font>
      <b/>
      <sz val="12.85"/>
      <color indexed="8"/>
      <name val="Arial"/>
      <family val="0"/>
    </font>
    <font>
      <b/>
      <sz val="11.5"/>
      <color indexed="12"/>
      <name val="Arial"/>
      <family val="0"/>
    </font>
    <font>
      <b/>
      <sz val="14.75"/>
      <color indexed="12"/>
      <name val="Arial"/>
      <family val="0"/>
    </font>
    <font>
      <b/>
      <sz val="11.5"/>
      <color indexed="10"/>
      <name val="Arial"/>
      <family val="0"/>
    </font>
    <font>
      <b/>
      <sz val="14.75"/>
      <color indexed="10"/>
      <name val="Arial"/>
      <family val="0"/>
    </font>
    <font>
      <b/>
      <sz val="11.9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13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17" fontId="0" fillId="0" borderId="14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4" fontId="10" fillId="0" borderId="0" xfId="0" applyNumberFormat="1" applyFont="1" applyAlignment="1">
      <alignment/>
    </xf>
    <xf numFmtId="17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4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Alignment="1">
      <alignment horizontal="center"/>
    </xf>
    <xf numFmtId="174" fontId="11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/>
    </xf>
    <xf numFmtId="44" fontId="0" fillId="0" borderId="10" xfId="0" applyNumberFormat="1" applyFont="1" applyFill="1" applyBorder="1" applyAlignment="1">
      <alignment/>
    </xf>
    <xf numFmtId="44" fontId="0" fillId="0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" fontId="0" fillId="0" borderId="19" xfId="0" applyNumberFormat="1" applyFont="1" applyFill="1" applyBorder="1" applyAlignment="1">
      <alignment horizontal="center"/>
    </xf>
    <xf numFmtId="17" fontId="0" fillId="0" borderId="18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6" fontId="0" fillId="0" borderId="18" xfId="0" applyNumberFormat="1" applyFont="1" applyFill="1" applyBorder="1" applyAlignment="1">
      <alignment horizontal="center"/>
    </xf>
    <xf numFmtId="17" fontId="0" fillId="0" borderId="14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44" fontId="0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17" fontId="9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left"/>
    </xf>
    <xf numFmtId="17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167" fontId="11" fillId="0" borderId="0" xfId="0" applyNumberFormat="1" applyFont="1" applyFill="1" applyBorder="1" applyAlignment="1">
      <alignment horizontal="center"/>
    </xf>
    <xf numFmtId="3" fontId="11" fillId="22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3" fontId="14" fillId="0" borderId="0" xfId="0" applyNumberFormat="1" applyFont="1" applyFill="1" applyBorder="1" applyAlignment="1">
      <alignment horizontal="left"/>
    </xf>
    <xf numFmtId="44" fontId="7" fillId="22" borderId="0" xfId="0" applyNumberFormat="1" applyFont="1" applyFill="1" applyBorder="1" applyAlignment="1">
      <alignment horizontal="center"/>
    </xf>
    <xf numFmtId="174" fontId="0" fillId="0" borderId="21" xfId="0" applyNumberFormat="1" applyFill="1" applyBorder="1" applyAlignment="1">
      <alignment horizontal="center"/>
    </xf>
    <xf numFmtId="0" fontId="14" fillId="0" borderId="0" xfId="0" applyFont="1" applyAlignment="1">
      <alignment/>
    </xf>
    <xf numFmtId="9" fontId="7" fillId="0" borderId="0" xfId="0" applyNumberFormat="1" applyFont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7" fontId="0" fillId="0" borderId="23" xfId="0" applyNumberFormat="1" applyFont="1" applyFill="1" applyBorder="1" applyAlignment="1">
      <alignment horizontal="left"/>
    </xf>
    <xf numFmtId="14" fontId="0" fillId="0" borderId="24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170" fontId="0" fillId="0" borderId="23" xfId="0" applyNumberFormat="1" applyFont="1" applyFill="1" applyBorder="1" applyAlignment="1">
      <alignment horizontal="center"/>
    </xf>
    <xf numFmtId="17" fontId="0" fillId="0" borderId="22" xfId="0" applyNumberFormat="1" applyFont="1" applyFill="1" applyBorder="1" applyAlignment="1">
      <alignment horizontal="left"/>
    </xf>
    <xf numFmtId="14" fontId="0" fillId="0" borderId="26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170" fontId="0" fillId="0" borderId="2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17" fontId="0" fillId="0" borderId="28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 horizontal="center"/>
    </xf>
    <xf numFmtId="42" fontId="0" fillId="0" borderId="23" xfId="0" applyNumberFormat="1" applyFont="1" applyFill="1" applyBorder="1" applyAlignment="1">
      <alignment horizontal="center"/>
    </xf>
    <xf numFmtId="17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2" fontId="0" fillId="0" borderId="22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>
      <alignment/>
    </xf>
    <xf numFmtId="169" fontId="0" fillId="0" borderId="21" xfId="0" applyNumberFormat="1" applyFont="1" applyFill="1" applyBorder="1" applyAlignment="1">
      <alignment horizontal="center"/>
    </xf>
    <xf numFmtId="42" fontId="0" fillId="0" borderId="21" xfId="0" applyNumberFormat="1" applyFont="1" applyFill="1" applyBorder="1" applyAlignment="1">
      <alignment horizontal="center"/>
    </xf>
    <xf numFmtId="17" fontId="0" fillId="0" borderId="21" xfId="0" applyNumberFormat="1" applyFont="1" applyFill="1" applyBorder="1" applyAlignment="1">
      <alignment horizontal="left"/>
    </xf>
    <xf numFmtId="3" fontId="0" fillId="0" borderId="2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44" fontId="0" fillId="0" borderId="21" xfId="0" applyNumberFormat="1" applyFont="1" applyFill="1" applyBorder="1" applyAlignment="1">
      <alignment horizontal="center"/>
    </xf>
    <xf numFmtId="44" fontId="0" fillId="0" borderId="24" xfId="0" applyNumberFormat="1" applyFont="1" applyFill="1" applyBorder="1" applyAlignment="1">
      <alignment horizontal="center"/>
    </xf>
    <xf numFmtId="44" fontId="0" fillId="0" borderId="26" xfId="0" applyNumberFormat="1" applyFont="1" applyFill="1" applyBorder="1" applyAlignment="1">
      <alignment horizontal="center"/>
    </xf>
    <xf numFmtId="174" fontId="0" fillId="0" borderId="29" xfId="0" applyNumberFormat="1" applyFill="1" applyBorder="1" applyAlignment="1">
      <alignment horizontal="center"/>
    </xf>
    <xf numFmtId="174" fontId="0" fillId="0" borderId="30" xfId="0" applyNumberForma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44" fontId="0" fillId="0" borderId="23" xfId="0" applyNumberFormat="1" applyFont="1" applyFill="1" applyBorder="1" applyAlignment="1">
      <alignment horizontal="center"/>
    </xf>
    <xf numFmtId="44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4" fontId="0" fillId="0" borderId="29" xfId="0" applyNumberFormat="1" applyFont="1" applyFill="1" applyBorder="1" applyAlignment="1">
      <alignment horizontal="center"/>
    </xf>
    <xf numFmtId="14" fontId="0" fillId="0" borderId="30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172" fontId="0" fillId="0" borderId="23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42" fontId="9" fillId="0" borderId="22" xfId="0" applyNumberFormat="1" applyFont="1" applyFill="1" applyBorder="1" applyAlignment="1">
      <alignment horizontal="center"/>
    </xf>
    <xf numFmtId="17" fontId="2" fillId="0" borderId="25" xfId="0" applyNumberFormat="1" applyFont="1" applyFill="1" applyBorder="1" applyAlignment="1">
      <alignment horizontal="center"/>
    </xf>
    <xf numFmtId="44" fontId="0" fillId="0" borderId="29" xfId="0" applyNumberFormat="1" applyFont="1" applyFill="1" applyBorder="1" applyAlignment="1">
      <alignment horizontal="center"/>
    </xf>
    <xf numFmtId="44" fontId="2" fillId="0" borderId="23" xfId="0" applyNumberFormat="1" applyFont="1" applyFill="1" applyBorder="1" applyAlignment="1">
      <alignment/>
    </xf>
    <xf numFmtId="17" fontId="2" fillId="0" borderId="27" xfId="0" applyNumberFormat="1" applyFont="1" applyFill="1" applyBorder="1" applyAlignment="1">
      <alignment horizontal="center"/>
    </xf>
    <xf numFmtId="44" fontId="0" fillId="0" borderId="30" xfId="0" applyNumberFormat="1" applyFont="1" applyFill="1" applyBorder="1" applyAlignment="1">
      <alignment horizontal="center"/>
    </xf>
    <xf numFmtId="44" fontId="2" fillId="0" borderId="22" xfId="0" applyNumberFormat="1" applyFont="1" applyFill="1" applyBorder="1" applyAlignment="1">
      <alignment/>
    </xf>
    <xf numFmtId="44" fontId="2" fillId="0" borderId="18" xfId="0" applyNumberFormat="1" applyFont="1" applyFill="1" applyBorder="1" applyAlignment="1">
      <alignment/>
    </xf>
    <xf numFmtId="17" fontId="0" fillId="0" borderId="25" xfId="0" applyNumberFormat="1" applyFont="1" applyFill="1" applyBorder="1" applyAlignment="1">
      <alignment horizontal="center"/>
    </xf>
    <xf numFmtId="17" fontId="0" fillId="0" borderId="27" xfId="0" applyNumberFormat="1" applyFont="1" applyFill="1" applyBorder="1" applyAlignment="1">
      <alignment horizontal="center"/>
    </xf>
    <xf numFmtId="17" fontId="9" fillId="0" borderId="27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166" fontId="9" fillId="0" borderId="30" xfId="0" applyNumberFormat="1" applyFont="1" applyFill="1" applyBorder="1" applyAlignment="1">
      <alignment horizontal="center"/>
    </xf>
    <xf numFmtId="14" fontId="0" fillId="0" borderId="23" xfId="0" applyNumberFormat="1" applyFont="1" applyFill="1" applyBorder="1" applyAlignment="1">
      <alignment horizontal="center"/>
    </xf>
    <xf numFmtId="14" fontId="9" fillId="0" borderId="22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3" fontId="9" fillId="0" borderId="27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44" fontId="2" fillId="0" borderId="35" xfId="0" applyNumberFormat="1" applyFont="1" applyFill="1" applyBorder="1" applyAlignment="1">
      <alignment/>
    </xf>
    <xf numFmtId="44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4" fontId="0" fillId="0" borderId="36" xfId="0" applyNumberFormat="1" applyFont="1" applyFill="1" applyBorder="1" applyAlignment="1">
      <alignment horizontal="center"/>
    </xf>
    <xf numFmtId="44" fontId="0" fillId="0" borderId="37" xfId="0" applyNumberFormat="1" applyFont="1" applyFill="1" applyBorder="1" applyAlignment="1">
      <alignment horizontal="center"/>
    </xf>
    <xf numFmtId="44" fontId="2" fillId="0" borderId="36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166" fontId="9" fillId="0" borderId="22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0" fillId="0" borderId="35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72" fontId="0" fillId="0" borderId="25" xfId="0" applyNumberFormat="1" applyFont="1" applyFill="1" applyBorder="1" applyAlignment="1">
      <alignment horizontal="center"/>
    </xf>
    <xf numFmtId="172" fontId="0" fillId="0" borderId="27" xfId="0" applyNumberFormat="1" applyFont="1" applyFill="1" applyBorder="1" applyAlignment="1">
      <alignment horizontal="center"/>
    </xf>
    <xf numFmtId="17" fontId="0" fillId="0" borderId="22" xfId="0" applyNumberFormat="1" applyFont="1" applyFill="1" applyBorder="1" applyAlignment="1">
      <alignment horizontal="left"/>
    </xf>
    <xf numFmtId="17" fontId="0" fillId="0" borderId="27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42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30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4" fontId="0" fillId="0" borderId="32" xfId="0" applyNumberFormat="1" applyFont="1" applyFill="1" applyBorder="1" applyAlignment="1">
      <alignment horizontal="center"/>
    </xf>
    <xf numFmtId="44" fontId="2" fillId="0" borderId="21" xfId="0" applyNumberFormat="1" applyFont="1" applyFill="1" applyBorder="1" applyAlignment="1">
      <alignment/>
    </xf>
    <xf numFmtId="4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0" fillId="0" borderId="18" xfId="0" applyNumberFormat="1" applyFont="1" applyFill="1" applyBorder="1" applyAlignment="1">
      <alignment horizontal="center"/>
    </xf>
    <xf numFmtId="14" fontId="0" fillId="0" borderId="38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170" fontId="0" fillId="0" borderId="18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39" xfId="0" applyFont="1" applyFill="1" applyBorder="1" applyAlignment="1">
      <alignment/>
    </xf>
    <xf numFmtId="17" fontId="0" fillId="22" borderId="22" xfId="0" applyNumberFormat="1" applyFont="1" applyFill="1" applyBorder="1" applyAlignment="1">
      <alignment horizontal="left"/>
    </xf>
    <xf numFmtId="1" fontId="0" fillId="22" borderId="22" xfId="0" applyNumberFormat="1" applyFont="1" applyFill="1" applyBorder="1" applyAlignment="1">
      <alignment horizontal="center"/>
    </xf>
    <xf numFmtId="3" fontId="0" fillId="22" borderId="22" xfId="0" applyNumberFormat="1" applyFont="1" applyFill="1" applyBorder="1" applyAlignment="1">
      <alignment horizontal="center"/>
    </xf>
    <xf numFmtId="3" fontId="0" fillId="22" borderId="27" xfId="0" applyNumberFormat="1" applyFont="1" applyFill="1" applyBorder="1" applyAlignment="1">
      <alignment horizontal="center"/>
    </xf>
    <xf numFmtId="44" fontId="0" fillId="22" borderId="22" xfId="0" applyNumberFormat="1" applyFont="1" applyFill="1" applyBorder="1" applyAlignment="1">
      <alignment horizontal="center"/>
    </xf>
    <xf numFmtId="44" fontId="0" fillId="22" borderId="26" xfId="0" applyNumberFormat="1" applyFont="1" applyFill="1" applyBorder="1" applyAlignment="1">
      <alignment horizontal="center"/>
    </xf>
    <xf numFmtId="14" fontId="0" fillId="22" borderId="22" xfId="0" applyNumberFormat="1" applyFont="1" applyFill="1" applyBorder="1" applyAlignment="1">
      <alignment horizontal="center"/>
    </xf>
    <xf numFmtId="166" fontId="0" fillId="22" borderId="22" xfId="0" applyNumberFormat="1" applyFont="1" applyFill="1" applyBorder="1" applyAlignment="1">
      <alignment horizontal="center"/>
    </xf>
    <xf numFmtId="166" fontId="0" fillId="22" borderId="30" xfId="0" applyNumberFormat="1" applyFont="1" applyFill="1" applyBorder="1" applyAlignment="1">
      <alignment horizontal="center"/>
    </xf>
    <xf numFmtId="42" fontId="0" fillId="22" borderId="22" xfId="0" applyNumberFormat="1" applyFont="1" applyFill="1" applyBorder="1" applyAlignment="1">
      <alignment horizontal="center"/>
    </xf>
    <xf numFmtId="172" fontId="0" fillId="22" borderId="27" xfId="0" applyNumberFormat="1" applyFont="1" applyFill="1" applyBorder="1" applyAlignment="1">
      <alignment horizontal="center"/>
    </xf>
    <xf numFmtId="170" fontId="0" fillId="22" borderId="22" xfId="0" applyNumberFormat="1" applyFont="1" applyFill="1" applyBorder="1" applyAlignment="1">
      <alignment horizontal="center"/>
    </xf>
    <xf numFmtId="0" fontId="0" fillId="22" borderId="0" xfId="0" applyFont="1" applyFill="1" applyAlignment="1">
      <alignment/>
    </xf>
    <xf numFmtId="9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165" fontId="0" fillId="22" borderId="2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" fontId="2" fillId="22" borderId="27" xfId="0" applyNumberFormat="1" applyFont="1" applyFill="1" applyBorder="1" applyAlignment="1">
      <alignment horizontal="center"/>
    </xf>
    <xf numFmtId="44" fontId="0" fillId="22" borderId="30" xfId="0" applyNumberFormat="1" applyFont="1" applyFill="1" applyBorder="1" applyAlignment="1">
      <alignment horizontal="center"/>
    </xf>
    <xf numFmtId="44" fontId="2" fillId="22" borderId="22" xfId="0" applyNumberFormat="1" applyFont="1" applyFill="1" applyBorder="1" applyAlignment="1">
      <alignment/>
    </xf>
    <xf numFmtId="44" fontId="0" fillId="22" borderId="18" xfId="0" applyNumberFormat="1" applyFont="1" applyFill="1" applyBorder="1" applyAlignment="1">
      <alignment horizontal="center"/>
    </xf>
    <xf numFmtId="44" fontId="0" fillId="22" borderId="13" xfId="0" applyNumberFormat="1" applyFont="1" applyFill="1" applyBorder="1" applyAlignment="1">
      <alignment horizontal="center"/>
    </xf>
    <xf numFmtId="44" fontId="2" fillId="22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74" fontId="0" fillId="0" borderId="13" xfId="0" applyNumberFormat="1" applyFont="1" applyFill="1" applyBorder="1" applyAlignment="1">
      <alignment horizontal="center"/>
    </xf>
    <xf numFmtId="44" fontId="0" fillId="0" borderId="38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7" fontId="2" fillId="0" borderId="20" xfId="0" applyNumberFormat="1" applyFont="1" applyFill="1" applyBorder="1" applyAlignment="1">
      <alignment horizontal="center"/>
    </xf>
    <xf numFmtId="44" fontId="0" fillId="22" borderId="23" xfId="0" applyNumberFormat="1" applyFont="1" applyFill="1" applyBorder="1" applyAlignment="1">
      <alignment horizontal="center"/>
    </xf>
    <xf numFmtId="3" fontId="0" fillId="22" borderId="23" xfId="0" applyNumberFormat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2" fontId="0" fillId="22" borderId="22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/>
    </xf>
    <xf numFmtId="17" fontId="2" fillId="0" borderId="23" xfId="0" applyNumberFormat="1" applyFont="1" applyFill="1" applyBorder="1" applyAlignment="1">
      <alignment horizontal="center"/>
    </xf>
    <xf numFmtId="17" fontId="2" fillId="0" borderId="22" xfId="0" applyNumberFormat="1" applyFont="1" applyFill="1" applyBorder="1" applyAlignment="1">
      <alignment horizontal="center"/>
    </xf>
    <xf numFmtId="17" fontId="2" fillId="0" borderId="18" xfId="0" applyNumberFormat="1" applyFont="1" applyFill="1" applyBorder="1" applyAlignment="1">
      <alignment horizontal="center"/>
    </xf>
    <xf numFmtId="17" fontId="2" fillId="0" borderId="4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horizontal="center"/>
    </xf>
    <xf numFmtId="17" fontId="0" fillId="22" borderId="23" xfId="0" applyNumberFormat="1" applyFont="1" applyFill="1" applyBorder="1" applyAlignment="1">
      <alignment horizontal="left"/>
    </xf>
    <xf numFmtId="172" fontId="0" fillId="22" borderId="31" xfId="0" applyNumberFormat="1" applyFont="1" applyFill="1" applyBorder="1" applyAlignment="1">
      <alignment horizontal="center"/>
    </xf>
    <xf numFmtId="172" fontId="0" fillId="22" borderId="23" xfId="0" applyNumberFormat="1" applyFont="1" applyFill="1" applyBorder="1" applyAlignment="1">
      <alignment horizontal="center"/>
    </xf>
    <xf numFmtId="42" fontId="0" fillId="22" borderId="23" xfId="0" applyNumberFormat="1" applyFont="1" applyFill="1" applyBorder="1" applyAlignment="1">
      <alignment horizontal="center"/>
    </xf>
    <xf numFmtId="17" fontId="0" fillId="22" borderId="20" xfId="0" applyNumberFormat="1" applyFont="1" applyFill="1" applyBorder="1" applyAlignment="1">
      <alignment horizontal="center"/>
    </xf>
    <xf numFmtId="172" fontId="0" fillId="22" borderId="32" xfId="0" applyNumberFormat="1" applyFont="1" applyFill="1" applyBorder="1" applyAlignment="1">
      <alignment horizontal="center"/>
    </xf>
    <xf numFmtId="171" fontId="0" fillId="0" borderId="11" xfId="0" applyNumberForma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17" fontId="0" fillId="0" borderId="36" xfId="0" applyNumberFormat="1" applyFont="1" applyFill="1" applyBorder="1" applyAlignment="1">
      <alignment horizontal="left"/>
    </xf>
    <xf numFmtId="14" fontId="0" fillId="0" borderId="25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74" fontId="0" fillId="0" borderId="37" xfId="0" applyNumberFormat="1" applyFill="1" applyBorder="1" applyAlignment="1">
      <alignment horizontal="center"/>
    </xf>
    <xf numFmtId="44" fontId="0" fillId="0" borderId="41" xfId="0" applyNumberFormat="1" applyFont="1" applyFill="1" applyBorder="1" applyAlignment="1">
      <alignment horizontal="center"/>
    </xf>
    <xf numFmtId="14" fontId="0" fillId="0" borderId="27" xfId="0" applyNumberFormat="1" applyFont="1" applyFill="1" applyBorder="1" applyAlignment="1">
      <alignment horizontal="center"/>
    </xf>
    <xf numFmtId="44" fontId="0" fillId="0" borderId="42" xfId="0" applyNumberFormat="1" applyFont="1" applyFill="1" applyBorder="1" applyAlignment="1">
      <alignment horizontal="center"/>
    </xf>
    <xf numFmtId="14" fontId="0" fillId="0" borderId="40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73" fontId="0" fillId="0" borderId="22" xfId="0" applyNumberFormat="1" applyFont="1" applyFill="1" applyBorder="1" applyAlignment="1">
      <alignment horizontal="center"/>
    </xf>
    <xf numFmtId="1" fontId="0" fillId="0" borderId="43" xfId="0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1" fontId="0" fillId="22" borderId="23" xfId="0" applyNumberFormat="1" applyFont="1" applyFill="1" applyBorder="1" applyAlignment="1">
      <alignment horizontal="center"/>
    </xf>
    <xf numFmtId="3" fontId="0" fillId="22" borderId="25" xfId="0" applyNumberFormat="1" applyFont="1" applyFill="1" applyBorder="1" applyAlignment="1">
      <alignment horizontal="center"/>
    </xf>
    <xf numFmtId="44" fontId="0" fillId="22" borderId="24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42" fontId="0" fillId="0" borderId="18" xfId="0" applyNumberFormat="1" applyFont="1" applyFill="1" applyBorder="1" applyAlignment="1">
      <alignment horizontal="center"/>
    </xf>
    <xf numFmtId="17" fontId="0" fillId="22" borderId="23" xfId="0" applyNumberFormat="1" applyFont="1" applyFill="1" applyBorder="1" applyAlignment="1">
      <alignment horizontal="center"/>
    </xf>
    <xf numFmtId="14" fontId="0" fillId="22" borderId="23" xfId="0" applyNumberFormat="1" applyFont="1" applyFill="1" applyBorder="1" applyAlignment="1">
      <alignment horizontal="center"/>
    </xf>
    <xf numFmtId="166" fontId="0" fillId="22" borderId="29" xfId="0" applyNumberFormat="1" applyFont="1" applyFill="1" applyBorder="1" applyAlignment="1">
      <alignment horizontal="center"/>
    </xf>
    <xf numFmtId="17" fontId="0" fillId="22" borderId="22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horizontal="center"/>
    </xf>
    <xf numFmtId="166" fontId="0" fillId="0" borderId="32" xfId="0" applyNumberFormat="1" applyFont="1" applyFill="1" applyBorder="1" applyAlignment="1">
      <alignment horizontal="center"/>
    </xf>
    <xf numFmtId="17" fontId="2" fillId="22" borderId="23" xfId="0" applyNumberFormat="1" applyFont="1" applyFill="1" applyBorder="1" applyAlignment="1">
      <alignment horizontal="center"/>
    </xf>
    <xf numFmtId="44" fontId="0" fillId="22" borderId="36" xfId="0" applyNumberFormat="1" applyFont="1" applyFill="1" applyBorder="1" applyAlignment="1">
      <alignment horizontal="center"/>
    </xf>
    <xf numFmtId="44" fontId="0" fillId="22" borderId="37" xfId="0" applyNumberFormat="1" applyFont="1" applyFill="1" applyBorder="1" applyAlignment="1">
      <alignment horizontal="center"/>
    </xf>
    <xf numFmtId="44" fontId="2" fillId="22" borderId="36" xfId="0" applyNumberFormat="1" applyFont="1" applyFill="1" applyBorder="1" applyAlignment="1">
      <alignment/>
    </xf>
    <xf numFmtId="17" fontId="2" fillId="22" borderId="18" xfId="0" applyNumberFormat="1" applyFont="1" applyFill="1" applyBorder="1" applyAlignment="1">
      <alignment horizontal="center"/>
    </xf>
    <xf numFmtId="172" fontId="0" fillId="0" borderId="21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7" fontId="0" fillId="22" borderId="45" xfId="0" applyNumberFormat="1" applyFont="1" applyFill="1" applyBorder="1" applyAlignment="1">
      <alignment horizontal="center"/>
    </xf>
    <xf numFmtId="165" fontId="0" fillId="22" borderId="36" xfId="0" applyNumberFormat="1" applyFont="1" applyFill="1" applyBorder="1" applyAlignment="1">
      <alignment horizontal="center"/>
    </xf>
    <xf numFmtId="42" fontId="0" fillId="22" borderId="36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4" fontId="0" fillId="0" borderId="46" xfId="0" applyNumberFormat="1" applyFont="1" applyFill="1" applyBorder="1" applyAlignment="1">
      <alignment horizontal="center"/>
    </xf>
    <xf numFmtId="44" fontId="0" fillId="0" borderId="46" xfId="0" applyNumberFormat="1" applyFont="1" applyFill="1" applyBorder="1" applyAlignment="1">
      <alignment horizontal="center"/>
    </xf>
    <xf numFmtId="17" fontId="0" fillId="0" borderId="23" xfId="0" applyNumberFormat="1" applyFont="1" applyFill="1" applyBorder="1" applyAlignment="1">
      <alignment horizontal="center"/>
    </xf>
    <xf numFmtId="17" fontId="0" fillId="0" borderId="22" xfId="0" applyNumberFormat="1" applyFont="1" applyFill="1" applyBorder="1" applyAlignment="1">
      <alignment horizontal="center"/>
    </xf>
    <xf numFmtId="17" fontId="0" fillId="0" borderId="21" xfId="0" applyNumberFormat="1" applyFont="1" applyFill="1" applyBorder="1" applyAlignment="1">
      <alignment horizontal="center"/>
    </xf>
    <xf numFmtId="17" fontId="0" fillId="0" borderId="18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/>
    </xf>
    <xf numFmtId="3" fontId="9" fillId="22" borderId="22" xfId="0" applyNumberFormat="1" applyFont="1" applyFill="1" applyBorder="1" applyAlignment="1">
      <alignment horizontal="center"/>
    </xf>
    <xf numFmtId="174" fontId="0" fillId="0" borderId="38" xfId="0" applyNumberFormat="1" applyFont="1" applyFill="1" applyBorder="1" applyAlignment="1">
      <alignment horizontal="center"/>
    </xf>
    <xf numFmtId="165" fontId="0" fillId="0" borderId="23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" fontId="0" fillId="0" borderId="45" xfId="0" applyNumberFormat="1" applyFont="1" applyFill="1" applyBorder="1" applyAlignment="1">
      <alignment horizontal="center"/>
    </xf>
    <xf numFmtId="172" fontId="0" fillId="0" borderId="36" xfId="0" applyNumberFormat="1" applyFont="1" applyFill="1" applyBorder="1" applyAlignment="1">
      <alignment horizontal="center"/>
    </xf>
    <xf numFmtId="42" fontId="0" fillId="0" borderId="36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/>
    </xf>
    <xf numFmtId="14" fontId="0" fillId="0" borderId="46" xfId="0" applyNumberFormat="1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center"/>
    </xf>
    <xf numFmtId="170" fontId="0" fillId="0" borderId="21" xfId="0" applyNumberFormat="1" applyFont="1" applyFill="1" applyBorder="1" applyAlignment="1">
      <alignment horizontal="center"/>
    </xf>
    <xf numFmtId="172" fontId="0" fillId="22" borderId="25" xfId="0" applyNumberFormat="1" applyFont="1" applyFill="1" applyBorder="1" applyAlignment="1">
      <alignment horizontal="center"/>
    </xf>
    <xf numFmtId="170" fontId="0" fillId="22" borderId="23" xfId="0" applyNumberFormat="1" applyFont="1" applyFill="1" applyBorder="1" applyAlignment="1">
      <alignment horizontal="center"/>
    </xf>
    <xf numFmtId="166" fontId="0" fillId="22" borderId="23" xfId="0" applyNumberFormat="1" applyFont="1" applyFill="1" applyBorder="1" applyAlignment="1">
      <alignment horizontal="center"/>
    </xf>
    <xf numFmtId="0" fontId="9" fillId="22" borderId="0" xfId="0" applyFont="1" applyFill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22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2" fillId="22" borderId="10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7" fontId="10" fillId="0" borderId="0" xfId="0" applyNumberFormat="1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horizontal="left" vertical="center"/>
    </xf>
    <xf numFmtId="44" fontId="2" fillId="0" borderId="0" xfId="0" applyNumberFormat="1" applyFont="1" applyFill="1" applyBorder="1" applyAlignment="1">
      <alignment horizontal="right" vertical="center"/>
    </xf>
    <xf numFmtId="44" fontId="0" fillId="0" borderId="0" xfId="0" applyNumberFormat="1" applyFont="1" applyFill="1" applyAlignment="1">
      <alignment/>
    </xf>
    <xf numFmtId="44" fontId="7" fillId="0" borderId="0" xfId="0" applyNumberFormat="1" applyFont="1" applyFill="1" applyBorder="1" applyAlignment="1">
      <alignment horizontal="center"/>
    </xf>
    <xf numFmtId="14" fontId="0" fillId="22" borderId="23" xfId="0" applyNumberFormat="1" applyFill="1" applyBorder="1" applyAlignment="1">
      <alignment horizontal="center"/>
    </xf>
    <xf numFmtId="174" fontId="0" fillId="0" borderId="39" xfId="0" applyNumberFormat="1" applyFill="1" applyBorder="1" applyAlignment="1">
      <alignment horizontal="center"/>
    </xf>
    <xf numFmtId="174" fontId="0" fillId="0" borderId="39" xfId="0" applyNumberFormat="1" applyFont="1" applyFill="1" applyBorder="1" applyAlignment="1">
      <alignment horizontal="center"/>
    </xf>
    <xf numFmtId="174" fontId="0" fillId="0" borderId="39" xfId="0" applyNumberFormat="1" applyFont="1" applyFill="1" applyBorder="1" applyAlignment="1">
      <alignment horizontal="center"/>
    </xf>
    <xf numFmtId="1" fontId="9" fillId="22" borderId="22" xfId="0" applyNumberFormat="1" applyFont="1" applyFill="1" applyBorder="1" applyAlignment="1">
      <alignment horizontal="center"/>
    </xf>
    <xf numFmtId="174" fontId="0" fillId="22" borderId="23" xfId="0" applyNumberFormat="1" applyFill="1" applyBorder="1" applyAlignment="1">
      <alignment horizontal="center"/>
    </xf>
    <xf numFmtId="174" fontId="0" fillId="22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17" fontId="9" fillId="0" borderId="22" xfId="0" applyNumberFormat="1" applyFont="1" applyFill="1" applyBorder="1" applyAlignment="1">
      <alignment horizontal="left"/>
    </xf>
    <xf numFmtId="172" fontId="9" fillId="0" borderId="27" xfId="0" applyNumberFormat="1" applyFont="1" applyFill="1" applyBorder="1" applyAlignment="1">
      <alignment horizontal="center"/>
    </xf>
    <xf numFmtId="170" fontId="9" fillId="0" borderId="22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4" fontId="0" fillId="22" borderId="30" xfId="0" applyNumberFormat="1" applyFont="1" applyFill="1" applyBorder="1" applyAlignment="1">
      <alignment horizontal="center"/>
    </xf>
    <xf numFmtId="174" fontId="0" fillId="22" borderId="22" xfId="0" applyNumberFormat="1" applyFont="1" applyFill="1" applyBorder="1" applyAlignment="1">
      <alignment horizontal="center"/>
    </xf>
    <xf numFmtId="14" fontId="0" fillId="22" borderId="21" xfId="0" applyNumberFormat="1" applyFont="1" applyFill="1" applyBorder="1" applyAlignment="1">
      <alignment horizontal="center"/>
    </xf>
    <xf numFmtId="165" fontId="0" fillId="22" borderId="22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172" fontId="0" fillId="22" borderId="22" xfId="0" applyNumberFormat="1" applyFill="1" applyBorder="1" applyAlignment="1">
      <alignment horizontal="center"/>
    </xf>
    <xf numFmtId="17" fontId="0" fillId="22" borderId="18" xfId="0" applyNumberFormat="1" applyFont="1" applyFill="1" applyBorder="1" applyAlignment="1">
      <alignment horizontal="left"/>
    </xf>
    <xf numFmtId="17" fontId="0" fillId="22" borderId="19" xfId="0" applyNumberFormat="1" applyFont="1" applyFill="1" applyBorder="1" applyAlignment="1">
      <alignment horizontal="center"/>
    </xf>
    <xf numFmtId="14" fontId="0" fillId="22" borderId="18" xfId="0" applyNumberFormat="1" applyFont="1" applyFill="1" applyBorder="1" applyAlignment="1">
      <alignment horizontal="center"/>
    </xf>
    <xf numFmtId="17" fontId="0" fillId="22" borderId="21" xfId="0" applyNumberFormat="1" applyFont="1" applyFill="1" applyBorder="1" applyAlignment="1">
      <alignment horizontal="left"/>
    </xf>
    <xf numFmtId="3" fontId="0" fillId="22" borderId="22" xfId="0" applyNumberFormat="1" applyFill="1" applyBorder="1" applyAlignment="1">
      <alignment horizontal="center"/>
    </xf>
    <xf numFmtId="3" fontId="0" fillId="22" borderId="30" xfId="0" applyNumberFormat="1" applyFill="1" applyBorder="1" applyAlignment="1">
      <alignment horizontal="center"/>
    </xf>
    <xf numFmtId="3" fontId="0" fillId="22" borderId="26" xfId="0" applyNumberFormat="1" applyFont="1" applyFill="1" applyBorder="1" applyAlignment="1">
      <alignment horizontal="center"/>
    </xf>
    <xf numFmtId="3" fontId="0" fillId="22" borderId="24" xfId="0" applyNumberFormat="1" applyFont="1" applyFill="1" applyBorder="1" applyAlignment="1">
      <alignment horizontal="center"/>
    </xf>
    <xf numFmtId="17" fontId="0" fillId="22" borderId="18" xfId="0" applyNumberFormat="1" applyFont="1" applyFill="1" applyBorder="1" applyAlignment="1">
      <alignment horizontal="center"/>
    </xf>
    <xf numFmtId="3" fontId="0" fillId="22" borderId="38" xfId="0" applyNumberFormat="1" applyFont="1" applyFill="1" applyBorder="1" applyAlignment="1">
      <alignment horizontal="center"/>
    </xf>
    <xf numFmtId="3" fontId="0" fillId="22" borderId="19" xfId="0" applyNumberFormat="1" applyFont="1" applyFill="1" applyBorder="1" applyAlignment="1">
      <alignment horizontal="center"/>
    </xf>
    <xf numFmtId="3" fontId="0" fillId="22" borderId="18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3" fontId="18" fillId="22" borderId="26" xfId="0" applyNumberFormat="1" applyFont="1" applyFill="1" applyBorder="1" applyAlignment="1">
      <alignment horizontal="center"/>
    </xf>
    <xf numFmtId="166" fontId="0" fillId="22" borderId="18" xfId="0" applyNumberFormat="1" applyFont="1" applyFill="1" applyBorder="1" applyAlignment="1">
      <alignment horizontal="center"/>
    </xf>
    <xf numFmtId="166" fontId="0" fillId="22" borderId="13" xfId="0" applyNumberFormat="1" applyFont="1" applyFill="1" applyBorder="1" applyAlignment="1">
      <alignment horizontal="center"/>
    </xf>
    <xf numFmtId="42" fontId="0" fillId="22" borderId="18" xfId="0" applyNumberFormat="1" applyFont="1" applyFill="1" applyBorder="1" applyAlignment="1">
      <alignment horizontal="center"/>
    </xf>
    <xf numFmtId="172" fontId="0" fillId="22" borderId="18" xfId="0" applyNumberFormat="1" applyFont="1" applyFill="1" applyBorder="1" applyAlignment="1">
      <alignment horizontal="center"/>
    </xf>
    <xf numFmtId="170" fontId="0" fillId="22" borderId="18" xfId="0" applyNumberFormat="1" applyFont="1" applyFill="1" applyBorder="1" applyAlignment="1">
      <alignment horizontal="center"/>
    </xf>
    <xf numFmtId="0" fontId="2" fillId="22" borderId="11" xfId="0" applyFont="1" applyFill="1" applyBorder="1" applyAlignment="1">
      <alignment vertical="center"/>
    </xf>
    <xf numFmtId="3" fontId="0" fillId="22" borderId="21" xfId="0" applyNumberFormat="1" applyFill="1" applyBorder="1" applyAlignment="1">
      <alignment horizontal="center"/>
    </xf>
    <xf numFmtId="3" fontId="0" fillId="22" borderId="21" xfId="0" applyNumberFormat="1" applyFont="1" applyFill="1" applyBorder="1" applyAlignment="1">
      <alignment horizontal="center"/>
    </xf>
    <xf numFmtId="3" fontId="0" fillId="22" borderId="32" xfId="0" applyNumberFormat="1" applyFill="1" applyBorder="1" applyAlignment="1">
      <alignment horizontal="center"/>
    </xf>
    <xf numFmtId="3" fontId="9" fillId="22" borderId="21" xfId="0" applyNumberFormat="1" applyFont="1" applyFill="1" applyBorder="1" applyAlignment="1">
      <alignment horizontal="center"/>
    </xf>
    <xf numFmtId="1" fontId="9" fillId="22" borderId="21" xfId="0" applyNumberFormat="1" applyFont="1" applyFill="1" applyBorder="1" applyAlignment="1">
      <alignment horizontal="center"/>
    </xf>
    <xf numFmtId="1" fontId="0" fillId="22" borderId="21" xfId="0" applyNumberFormat="1" applyFont="1" applyFill="1" applyBorder="1" applyAlignment="1">
      <alignment horizontal="center"/>
    </xf>
    <xf numFmtId="44" fontId="0" fillId="22" borderId="21" xfId="0" applyNumberFormat="1" applyFont="1" applyFill="1" applyBorder="1" applyAlignment="1">
      <alignment horizontal="center"/>
    </xf>
    <xf numFmtId="44" fontId="0" fillId="22" borderId="46" xfId="0" applyNumberFormat="1" applyFont="1" applyFill="1" applyBorder="1" applyAlignment="1">
      <alignment horizontal="center"/>
    </xf>
    <xf numFmtId="172" fontId="0" fillId="22" borderId="21" xfId="0" applyNumberFormat="1" applyFill="1" applyBorder="1" applyAlignment="1">
      <alignment horizontal="center"/>
    </xf>
    <xf numFmtId="172" fontId="0" fillId="22" borderId="21" xfId="0" applyNumberFormat="1" applyFont="1" applyFill="1" applyBorder="1" applyAlignment="1">
      <alignment horizontal="center"/>
    </xf>
    <xf numFmtId="165" fontId="0" fillId="22" borderId="21" xfId="0" applyNumberFormat="1" applyFont="1" applyFill="1" applyBorder="1" applyAlignment="1">
      <alignment horizontal="center"/>
    </xf>
    <xf numFmtId="42" fontId="0" fillId="22" borderId="21" xfId="0" applyNumberFormat="1" applyFont="1" applyFill="1" applyBorder="1" applyAlignment="1">
      <alignment horizontal="center"/>
    </xf>
    <xf numFmtId="17" fontId="0" fillId="22" borderId="28" xfId="0" applyNumberFormat="1" applyFont="1" applyFill="1" applyBorder="1" applyAlignment="1">
      <alignment horizontal="center"/>
    </xf>
    <xf numFmtId="165" fontId="0" fillId="22" borderId="23" xfId="0" applyNumberFormat="1" applyFont="1" applyFill="1" applyBorder="1" applyAlignment="1">
      <alignment horizontal="center"/>
    </xf>
    <xf numFmtId="165" fontId="0" fillId="22" borderId="18" xfId="0" applyNumberFormat="1" applyFont="1" applyFill="1" applyBorder="1" applyAlignment="1">
      <alignment horizontal="center"/>
    </xf>
    <xf numFmtId="172" fontId="0" fillId="22" borderId="29" xfId="0" applyNumberFormat="1" applyFill="1" applyBorder="1" applyAlignment="1">
      <alignment horizontal="center"/>
    </xf>
    <xf numFmtId="172" fontId="0" fillId="22" borderId="32" xfId="0" applyNumberFormat="1" applyFill="1" applyBorder="1" applyAlignment="1">
      <alignment horizontal="center"/>
    </xf>
    <xf numFmtId="172" fontId="0" fillId="22" borderId="29" xfId="0" applyNumberFormat="1" applyFont="1" applyFill="1" applyBorder="1" applyAlignment="1">
      <alignment horizontal="center"/>
    </xf>
    <xf numFmtId="3" fontId="0" fillId="22" borderId="29" xfId="0" applyNumberFormat="1" applyFont="1" applyFill="1" applyBorder="1" applyAlignment="1">
      <alignment horizontal="center"/>
    </xf>
    <xf numFmtId="172" fontId="0" fillId="22" borderId="30" xfId="0" applyNumberFormat="1" applyFont="1" applyFill="1" applyBorder="1" applyAlignment="1">
      <alignment horizontal="center"/>
    </xf>
    <xf numFmtId="3" fontId="0" fillId="22" borderId="30" xfId="0" applyNumberFormat="1" applyFont="1" applyFill="1" applyBorder="1" applyAlignment="1">
      <alignment horizontal="center"/>
    </xf>
    <xf numFmtId="44" fontId="9" fillId="0" borderId="0" xfId="0" applyNumberFormat="1" applyFont="1" applyFill="1" applyAlignment="1">
      <alignment/>
    </xf>
    <xf numFmtId="167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44" fontId="2" fillId="0" borderId="10" xfId="0" applyNumberFormat="1" applyFont="1" applyFill="1" applyBorder="1" applyAlignment="1">
      <alignment vertical="center"/>
    </xf>
    <xf numFmtId="17" fontId="16" fillId="0" borderId="23" xfId="0" applyNumberFormat="1" applyFont="1" applyFill="1" applyBorder="1" applyAlignment="1">
      <alignment horizontal="center"/>
    </xf>
    <xf numFmtId="44" fontId="15" fillId="0" borderId="36" xfId="0" applyNumberFormat="1" applyFont="1" applyFill="1" applyBorder="1" applyAlignment="1">
      <alignment horizontal="center"/>
    </xf>
    <xf numFmtId="44" fontId="15" fillId="0" borderId="37" xfId="0" applyNumberFormat="1" applyFont="1" applyFill="1" applyBorder="1" applyAlignment="1">
      <alignment horizontal="center"/>
    </xf>
    <xf numFmtId="44" fontId="16" fillId="0" borderId="36" xfId="0" applyNumberFormat="1" applyFont="1" applyFill="1" applyBorder="1" applyAlignment="1">
      <alignment/>
    </xf>
    <xf numFmtId="0" fontId="16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" fontId="16" fillId="0" borderId="27" xfId="0" applyNumberFormat="1" applyFont="1" applyFill="1" applyBorder="1" applyAlignment="1">
      <alignment horizontal="center"/>
    </xf>
    <xf numFmtId="44" fontId="15" fillId="0" borderId="22" xfId="0" applyNumberFormat="1" applyFont="1" applyFill="1" applyBorder="1" applyAlignment="1">
      <alignment horizontal="center"/>
    </xf>
    <xf numFmtId="44" fontId="15" fillId="0" borderId="30" xfId="0" applyNumberFormat="1" applyFont="1" applyFill="1" applyBorder="1" applyAlignment="1">
      <alignment horizontal="center"/>
    </xf>
    <xf numFmtId="44" fontId="16" fillId="0" borderId="22" xfId="0" applyNumberFormat="1" applyFont="1" applyFill="1" applyBorder="1" applyAlignment="1">
      <alignment/>
    </xf>
    <xf numFmtId="17" fontId="16" fillId="0" borderId="18" xfId="0" applyNumberFormat="1" applyFont="1" applyFill="1" applyBorder="1" applyAlignment="1">
      <alignment horizontal="center"/>
    </xf>
    <xf numFmtId="44" fontId="15" fillId="0" borderId="18" xfId="0" applyNumberFormat="1" applyFont="1" applyFill="1" applyBorder="1" applyAlignment="1">
      <alignment horizontal="center"/>
    </xf>
    <xf numFmtId="44" fontId="15" fillId="0" borderId="13" xfId="0" applyNumberFormat="1" applyFont="1" applyFill="1" applyBorder="1" applyAlignment="1">
      <alignment horizontal="center"/>
    </xf>
    <xf numFmtId="44" fontId="16" fillId="0" borderId="18" xfId="0" applyNumberFormat="1" applyFont="1" applyFill="1" applyBorder="1" applyAlignment="1">
      <alignment/>
    </xf>
    <xf numFmtId="44" fontId="16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2" fontId="0" fillId="22" borderId="13" xfId="0" applyNumberFormat="1" applyFill="1" applyBorder="1" applyAlignment="1">
      <alignment horizontal="center"/>
    </xf>
    <xf numFmtId="14" fontId="0" fillId="22" borderId="0" xfId="0" applyNumberFormat="1" applyFont="1" applyFill="1" applyBorder="1" applyAlignment="1">
      <alignment horizontal="center"/>
    </xf>
    <xf numFmtId="3" fontId="0" fillId="22" borderId="0" xfId="0" applyNumberFormat="1" applyFont="1" applyFill="1" applyBorder="1" applyAlignment="1">
      <alignment horizontal="center"/>
    </xf>
    <xf numFmtId="1" fontId="0" fillId="22" borderId="0" xfId="0" applyNumberFormat="1" applyFont="1" applyFill="1" applyBorder="1" applyAlignment="1">
      <alignment horizontal="center"/>
    </xf>
    <xf numFmtId="168" fontId="7" fillId="22" borderId="15" xfId="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wrapText="1"/>
    </xf>
    <xf numFmtId="0" fontId="0" fillId="0" borderId="39" xfId="0" applyBorder="1" applyAlignment="1">
      <alignment/>
    </xf>
    <xf numFmtId="0" fontId="0" fillId="20" borderId="42" xfId="0" applyFill="1" applyBorder="1" applyAlignment="1">
      <alignment/>
    </xf>
    <xf numFmtId="168" fontId="0" fillId="0" borderId="39" xfId="0" applyNumberFormat="1" applyBorder="1" applyAlignment="1">
      <alignment/>
    </xf>
    <xf numFmtId="9" fontId="0" fillId="0" borderId="47" xfId="0" applyNumberFormat="1" applyBorder="1" applyAlignment="1">
      <alignment horizontal="center"/>
    </xf>
    <xf numFmtId="44" fontId="0" fillId="0" borderId="42" xfId="0" applyNumberFormat="1" applyBorder="1" applyAlignment="1">
      <alignment/>
    </xf>
    <xf numFmtId="168" fontId="2" fillId="22" borderId="15" xfId="0" applyNumberFormat="1" applyFont="1" applyFill="1" applyBorder="1" applyAlignment="1">
      <alignment/>
    </xf>
    <xf numFmtId="3" fontId="0" fillId="22" borderId="46" xfId="0" applyNumberFormat="1" applyFont="1" applyFill="1" applyBorder="1" applyAlignment="1">
      <alignment horizontal="center"/>
    </xf>
    <xf numFmtId="166" fontId="0" fillId="22" borderId="21" xfId="0" applyNumberFormat="1" applyFont="1" applyFill="1" applyBorder="1" applyAlignment="1">
      <alignment horizontal="center"/>
    </xf>
    <xf numFmtId="14" fontId="0" fillId="22" borderId="48" xfId="0" applyNumberFormat="1" applyFont="1" applyFill="1" applyBorder="1" applyAlignment="1">
      <alignment horizontal="center"/>
    </xf>
    <xf numFmtId="3" fontId="0" fillId="22" borderId="48" xfId="0" applyNumberFormat="1" applyFont="1" applyFill="1" applyBorder="1" applyAlignment="1">
      <alignment horizontal="center"/>
    </xf>
    <xf numFmtId="174" fontId="0" fillId="22" borderId="21" xfId="0" applyNumberFormat="1" applyFont="1" applyFill="1" applyBorder="1" applyAlignment="1">
      <alignment horizontal="center"/>
    </xf>
    <xf numFmtId="174" fontId="0" fillId="22" borderId="23" xfId="0" applyNumberFormat="1" applyFont="1" applyFill="1" applyBorder="1" applyAlignment="1">
      <alignment horizontal="center"/>
    </xf>
    <xf numFmtId="1" fontId="0" fillId="22" borderId="48" xfId="0" applyNumberFormat="1" applyFont="1" applyFill="1" applyBorder="1" applyAlignment="1">
      <alignment horizontal="center"/>
    </xf>
    <xf numFmtId="3" fontId="0" fillId="22" borderId="32" xfId="0" applyNumberFormat="1" applyFont="1" applyFill="1" applyBorder="1" applyAlignment="1">
      <alignment horizontal="center"/>
    </xf>
    <xf numFmtId="170" fontId="0" fillId="22" borderId="21" xfId="0" applyNumberFormat="1" applyFont="1" applyFill="1" applyBorder="1" applyAlignment="1">
      <alignment horizontal="center"/>
    </xf>
    <xf numFmtId="3" fontId="0" fillId="22" borderId="20" xfId="0" applyNumberFormat="1" applyFont="1" applyFill="1" applyBorder="1" applyAlignment="1">
      <alignment horizontal="center"/>
    </xf>
    <xf numFmtId="17" fontId="0" fillId="22" borderId="36" xfId="0" applyNumberFormat="1" applyFont="1" applyFill="1" applyBorder="1" applyAlignment="1">
      <alignment horizontal="left"/>
    </xf>
    <xf numFmtId="17" fontId="0" fillId="22" borderId="25" xfId="0" applyNumberFormat="1" applyFont="1" applyFill="1" applyBorder="1" applyAlignment="1">
      <alignment horizontal="left"/>
    </xf>
    <xf numFmtId="17" fontId="0" fillId="22" borderId="27" xfId="0" applyNumberFormat="1" applyFont="1" applyFill="1" applyBorder="1" applyAlignment="1">
      <alignment horizontal="left"/>
    </xf>
    <xf numFmtId="17" fontId="0" fillId="22" borderId="19" xfId="0" applyNumberFormat="1" applyFont="1" applyFill="1" applyBorder="1" applyAlignment="1">
      <alignment horizontal="left"/>
    </xf>
    <xf numFmtId="3" fontId="0" fillId="22" borderId="13" xfId="0" applyNumberFormat="1" applyFont="1" applyFill="1" applyBorder="1" applyAlignment="1">
      <alignment horizontal="center"/>
    </xf>
    <xf numFmtId="1" fontId="0" fillId="22" borderId="18" xfId="0" applyNumberFormat="1" applyFont="1" applyFill="1" applyBorder="1" applyAlignment="1">
      <alignment horizontal="center"/>
    </xf>
    <xf numFmtId="1" fontId="0" fillId="22" borderId="29" xfId="0" applyNumberFormat="1" applyFont="1" applyFill="1" applyBorder="1" applyAlignment="1">
      <alignment horizontal="center"/>
    </xf>
    <xf numFmtId="1" fontId="0" fillId="22" borderId="30" xfId="0" applyNumberFormat="1" applyFont="1" applyFill="1" applyBorder="1" applyAlignment="1">
      <alignment horizontal="center"/>
    </xf>
    <xf numFmtId="1" fontId="0" fillId="22" borderId="13" xfId="0" applyNumberFormat="1" applyFont="1" applyFill="1" applyBorder="1" applyAlignment="1">
      <alignment horizontal="center"/>
    </xf>
    <xf numFmtId="174" fontId="0" fillId="22" borderId="18" xfId="0" applyNumberFormat="1" applyFont="1" applyFill="1" applyBorder="1" applyAlignment="1">
      <alignment horizontal="center"/>
    </xf>
    <xf numFmtId="44" fontId="0" fillId="22" borderId="29" xfId="0" applyNumberFormat="1" applyFont="1" applyFill="1" applyBorder="1" applyAlignment="1">
      <alignment horizontal="center"/>
    </xf>
    <xf numFmtId="14" fontId="0" fillId="22" borderId="27" xfId="0" applyNumberFormat="1" applyFont="1" applyFill="1" applyBorder="1" applyAlignment="1">
      <alignment horizontal="center"/>
    </xf>
    <xf numFmtId="14" fontId="0" fillId="22" borderId="25" xfId="0" applyNumberFormat="1" applyFont="1" applyFill="1" applyBorder="1" applyAlignment="1">
      <alignment horizontal="center"/>
    </xf>
    <xf numFmtId="14" fontId="0" fillId="22" borderId="19" xfId="0" applyNumberFormat="1" applyFont="1" applyFill="1" applyBorder="1" applyAlignment="1">
      <alignment horizontal="center"/>
    </xf>
    <xf numFmtId="17" fontId="0" fillId="22" borderId="36" xfId="0" applyNumberFormat="1" applyFont="1" applyFill="1" applyBorder="1" applyAlignment="1">
      <alignment horizontal="center"/>
    </xf>
    <xf numFmtId="165" fontId="0" fillId="22" borderId="21" xfId="0" applyNumberFormat="1" applyFont="1" applyFill="1" applyBorder="1" applyAlignment="1">
      <alignment horizontal="center"/>
    </xf>
    <xf numFmtId="14" fontId="0" fillId="22" borderId="12" xfId="0" applyNumberFormat="1" applyFont="1" applyFill="1" applyBorder="1" applyAlignment="1">
      <alignment horizontal="center"/>
    </xf>
    <xf numFmtId="172" fontId="0" fillId="22" borderId="0" xfId="0" applyNumberFormat="1" applyFill="1" applyBorder="1" applyAlignment="1">
      <alignment horizontal="center"/>
    </xf>
    <xf numFmtId="14" fontId="0" fillId="22" borderId="11" xfId="0" applyNumberFormat="1" applyFont="1" applyFill="1" applyBorder="1" applyAlignment="1">
      <alignment horizontal="center"/>
    </xf>
    <xf numFmtId="172" fontId="0" fillId="22" borderId="31" xfId="0" applyNumberFormat="1" applyFill="1" applyBorder="1" applyAlignment="1">
      <alignment horizontal="center"/>
    </xf>
    <xf numFmtId="165" fontId="0" fillId="22" borderId="23" xfId="0" applyNumberFormat="1" applyFont="1" applyFill="1" applyBorder="1" applyAlignment="1">
      <alignment horizontal="center"/>
    </xf>
    <xf numFmtId="42" fontId="0" fillId="22" borderId="11" xfId="0" applyNumberFormat="1" applyFont="1" applyFill="1" applyBorder="1" applyAlignment="1">
      <alignment horizontal="center"/>
    </xf>
    <xf numFmtId="3" fontId="0" fillId="22" borderId="39" xfId="0" applyNumberFormat="1" applyFont="1" applyFill="1" applyBorder="1" applyAlignment="1">
      <alignment horizontal="center"/>
    </xf>
    <xf numFmtId="3" fontId="0" fillId="22" borderId="42" xfId="0" applyNumberFormat="1" applyFont="1" applyFill="1" applyBorder="1" applyAlignment="1">
      <alignment horizontal="center"/>
    </xf>
    <xf numFmtId="17" fontId="0" fillId="22" borderId="27" xfId="0" applyNumberFormat="1" applyFont="1" applyFill="1" applyBorder="1" applyAlignment="1">
      <alignment horizontal="center"/>
    </xf>
    <xf numFmtId="14" fontId="0" fillId="22" borderId="20" xfId="0" applyNumberFormat="1" applyFont="1" applyFill="1" applyBorder="1" applyAlignment="1">
      <alignment horizontal="center"/>
    </xf>
    <xf numFmtId="166" fontId="0" fillId="22" borderId="39" xfId="0" applyNumberFormat="1" applyFont="1" applyFill="1" applyBorder="1" applyAlignment="1">
      <alignment horizontal="center"/>
    </xf>
    <xf numFmtId="17" fontId="0" fillId="22" borderId="25" xfId="0" applyNumberFormat="1" applyFont="1" applyFill="1" applyBorder="1" applyAlignment="1">
      <alignment horizontal="center"/>
    </xf>
    <xf numFmtId="3" fontId="0" fillId="22" borderId="49" xfId="0" applyNumberFormat="1" applyFont="1" applyFill="1" applyBorder="1" applyAlignment="1">
      <alignment horizontal="center"/>
    </xf>
    <xf numFmtId="3" fontId="0" fillId="22" borderId="50" xfId="0" applyNumberFormat="1" applyFont="1" applyFill="1" applyBorder="1" applyAlignment="1">
      <alignment horizontal="center"/>
    </xf>
    <xf numFmtId="166" fontId="0" fillId="22" borderId="50" xfId="0" applyNumberFormat="1" applyFont="1" applyFill="1" applyBorder="1" applyAlignment="1">
      <alignment horizontal="center"/>
    </xf>
    <xf numFmtId="42" fontId="0" fillId="22" borderId="51" xfId="0" applyNumberFormat="1" applyFont="1" applyFill="1" applyBorder="1" applyAlignment="1">
      <alignment horizontal="center"/>
    </xf>
    <xf numFmtId="42" fontId="0" fillId="22" borderId="44" xfId="0" applyNumberFormat="1" applyFont="1" applyFill="1" applyBorder="1" applyAlignment="1">
      <alignment horizontal="center"/>
    </xf>
    <xf numFmtId="3" fontId="0" fillId="22" borderId="52" xfId="0" applyNumberFormat="1" applyFont="1" applyFill="1" applyBorder="1" applyAlignment="1">
      <alignment horizontal="center"/>
    </xf>
    <xf numFmtId="3" fontId="0" fillId="22" borderId="53" xfId="0" applyNumberFormat="1" applyFont="1" applyFill="1" applyBorder="1" applyAlignment="1">
      <alignment horizontal="center"/>
    </xf>
    <xf numFmtId="166" fontId="0" fillId="22" borderId="53" xfId="0" applyNumberFormat="1" applyFont="1" applyFill="1" applyBorder="1" applyAlignment="1">
      <alignment horizontal="center"/>
    </xf>
    <xf numFmtId="42" fontId="0" fillId="22" borderId="54" xfId="0" applyNumberFormat="1" applyFont="1" applyFill="1" applyBorder="1" applyAlignment="1">
      <alignment horizontal="center"/>
    </xf>
    <xf numFmtId="170" fontId="0" fillId="22" borderId="30" xfId="0" applyNumberFormat="1" applyFont="1" applyFill="1" applyBorder="1" applyAlignment="1">
      <alignment horizontal="center"/>
    </xf>
    <xf numFmtId="14" fontId="0" fillId="22" borderId="29" xfId="0" applyNumberFormat="1" applyFont="1" applyFill="1" applyBorder="1" applyAlignment="1">
      <alignment horizontal="center"/>
    </xf>
    <xf numFmtId="170" fontId="0" fillId="22" borderId="29" xfId="0" applyNumberFormat="1" applyFont="1" applyFill="1" applyBorder="1" applyAlignment="1">
      <alignment horizontal="center"/>
    </xf>
    <xf numFmtId="14" fontId="0" fillId="22" borderId="13" xfId="0" applyNumberFormat="1" applyFont="1" applyFill="1" applyBorder="1" applyAlignment="1">
      <alignment horizontal="center"/>
    </xf>
    <xf numFmtId="170" fontId="0" fillId="22" borderId="13" xfId="0" applyNumberFormat="1" applyFont="1" applyFill="1" applyBorder="1" applyAlignment="1">
      <alignment horizontal="center"/>
    </xf>
    <xf numFmtId="3" fontId="9" fillId="22" borderId="23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44" fontId="10" fillId="0" borderId="0" xfId="0" applyNumberFormat="1" applyFont="1" applyFill="1" applyBorder="1" applyAlignment="1">
      <alignment/>
    </xf>
    <xf numFmtId="172" fontId="0" fillId="22" borderId="55" xfId="0" applyNumberFormat="1" applyFont="1" applyFill="1" applyBorder="1" applyAlignment="1">
      <alignment horizontal="center"/>
    </xf>
    <xf numFmtId="172" fontId="0" fillId="22" borderId="56" xfId="0" applyNumberFormat="1" applyFont="1" applyFill="1" applyBorder="1" applyAlignment="1">
      <alignment horizontal="center"/>
    </xf>
    <xf numFmtId="3" fontId="0" fillId="22" borderId="55" xfId="0" applyNumberFormat="1" applyFont="1" applyFill="1" applyBorder="1" applyAlignment="1">
      <alignment horizontal="center"/>
    </xf>
    <xf numFmtId="3" fontId="0" fillId="22" borderId="56" xfId="0" applyNumberFormat="1" applyFon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0" fillId="0" borderId="4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0" fillId="22" borderId="10" xfId="0" applyNumberFormat="1" applyFont="1" applyFill="1" applyBorder="1" applyAlignment="1">
      <alignment horizontal="center"/>
    </xf>
    <xf numFmtId="3" fontId="0" fillId="22" borderId="12" xfId="0" applyNumberFormat="1" applyFont="1" applyFill="1" applyBorder="1" applyAlignment="1">
      <alignment horizontal="center"/>
    </xf>
    <xf numFmtId="3" fontId="0" fillId="22" borderId="10" xfId="0" applyNumberFormat="1" applyFont="1" applyFill="1" applyBorder="1" applyAlignment="1">
      <alignment horizontal="center"/>
    </xf>
    <xf numFmtId="1" fontId="0" fillId="22" borderId="10" xfId="0" applyNumberFormat="1" applyFont="1" applyFill="1" applyBorder="1" applyAlignment="1">
      <alignment horizontal="center"/>
    </xf>
    <xf numFmtId="3" fontId="0" fillId="22" borderId="58" xfId="0" applyNumberFormat="1" applyFont="1" applyFill="1" applyBorder="1" applyAlignment="1">
      <alignment horizontal="center"/>
    </xf>
    <xf numFmtId="1" fontId="0" fillId="22" borderId="55" xfId="0" applyNumberFormat="1" applyFont="1" applyFill="1" applyBorder="1" applyAlignment="1">
      <alignment horizontal="center"/>
    </xf>
    <xf numFmtId="3" fontId="0" fillId="22" borderId="59" xfId="0" applyNumberFormat="1" applyFont="1" applyFill="1" applyBorder="1" applyAlignment="1">
      <alignment horizontal="center"/>
    </xf>
    <xf numFmtId="3" fontId="0" fillId="22" borderId="11" xfId="0" applyNumberFormat="1" applyFont="1" applyFill="1" applyBorder="1" applyAlignment="1">
      <alignment horizontal="center"/>
    </xf>
    <xf numFmtId="1" fontId="0" fillId="22" borderId="11" xfId="0" applyNumberFormat="1" applyFont="1" applyFill="1" applyBorder="1" applyAlignment="1">
      <alignment horizontal="center"/>
    </xf>
    <xf numFmtId="172" fontId="0" fillId="22" borderId="12" xfId="0" applyNumberFormat="1" applyFont="1" applyFill="1" applyBorder="1" applyAlignment="1">
      <alignment horizontal="center"/>
    </xf>
    <xf numFmtId="172" fontId="0" fillId="22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 Electrical and High Temp Hot Water Cost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92"/>
          <c:w val="0.9715"/>
          <c:h val="0.8935"/>
        </c:manualLayout>
      </c:layout>
      <c:lineChart>
        <c:grouping val="standard"/>
        <c:varyColors val="0"/>
        <c:ser>
          <c:idx val="0"/>
          <c:order val="0"/>
          <c:tx>
            <c:v>Electricity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SUMMARY!$B$7:$B$102</c:f>
              <c:strCache>
                <c:ptCount val="96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  <c:pt idx="72">
                  <c:v>39995</c:v>
                </c:pt>
                <c:pt idx="73">
                  <c:v>40026</c:v>
                </c:pt>
                <c:pt idx="74">
                  <c:v>40057</c:v>
                </c:pt>
                <c:pt idx="75">
                  <c:v>40087</c:v>
                </c:pt>
                <c:pt idx="76">
                  <c:v>40118</c:v>
                </c:pt>
                <c:pt idx="77">
                  <c:v>40148</c:v>
                </c:pt>
                <c:pt idx="78">
                  <c:v>40179</c:v>
                </c:pt>
                <c:pt idx="79">
                  <c:v>40210</c:v>
                </c:pt>
                <c:pt idx="80">
                  <c:v>40238</c:v>
                </c:pt>
                <c:pt idx="81">
                  <c:v>40269</c:v>
                </c:pt>
                <c:pt idx="82">
                  <c:v>40299</c:v>
                </c:pt>
                <c:pt idx="83">
                  <c:v>40330</c:v>
                </c:pt>
                <c:pt idx="84">
                  <c:v>40360</c:v>
                </c:pt>
                <c:pt idx="85">
                  <c:v>40391</c:v>
                </c:pt>
                <c:pt idx="86">
                  <c:v>40422</c:v>
                </c:pt>
                <c:pt idx="87">
                  <c:v>40452</c:v>
                </c:pt>
                <c:pt idx="88">
                  <c:v>40483</c:v>
                </c:pt>
                <c:pt idx="89">
                  <c:v>40513</c:v>
                </c:pt>
                <c:pt idx="90">
                  <c:v>40544</c:v>
                </c:pt>
                <c:pt idx="91">
                  <c:v>40575</c:v>
                </c:pt>
                <c:pt idx="92">
                  <c:v>40603</c:v>
                </c:pt>
                <c:pt idx="93">
                  <c:v>40634</c:v>
                </c:pt>
                <c:pt idx="94">
                  <c:v>40664</c:v>
                </c:pt>
                <c:pt idx="95">
                  <c:v>40695</c:v>
                </c:pt>
              </c:strCache>
            </c:strRef>
          </c:cat>
          <c:val>
            <c:numRef>
              <c:f>SUMMARY!$D$7:$D$102</c:f>
              <c:numCache>
                <c:ptCount val="96"/>
                <c:pt idx="0">
                  <c:v>6798.96</c:v>
                </c:pt>
                <c:pt idx="1">
                  <c:v>9078.96</c:v>
                </c:pt>
                <c:pt idx="2">
                  <c:v>8938.36</c:v>
                </c:pt>
                <c:pt idx="3">
                  <c:v>15329.199999999999</c:v>
                </c:pt>
                <c:pt idx="4">
                  <c:v>14356.4</c:v>
                </c:pt>
                <c:pt idx="5">
                  <c:v>16248.8</c:v>
                </c:pt>
                <c:pt idx="6">
                  <c:v>15238</c:v>
                </c:pt>
                <c:pt idx="7">
                  <c:v>14006.8</c:v>
                </c:pt>
                <c:pt idx="8">
                  <c:v>13847.199999999999</c:v>
                </c:pt>
                <c:pt idx="9">
                  <c:v>17487.6</c:v>
                </c:pt>
                <c:pt idx="10">
                  <c:v>12509.6</c:v>
                </c:pt>
                <c:pt idx="11">
                  <c:v>12730</c:v>
                </c:pt>
                <c:pt idx="12">
                  <c:v>39516.3</c:v>
                </c:pt>
                <c:pt idx="13">
                  <c:v>25671.9</c:v>
                </c:pt>
                <c:pt idx="14">
                  <c:v>22683.9</c:v>
                </c:pt>
                <c:pt idx="15">
                  <c:v>20642.100000000002</c:v>
                </c:pt>
                <c:pt idx="16">
                  <c:v>18426</c:v>
                </c:pt>
                <c:pt idx="17">
                  <c:v>18717.75</c:v>
                </c:pt>
                <c:pt idx="18">
                  <c:v>15902.800000000001</c:v>
                </c:pt>
                <c:pt idx="19">
                  <c:v>15570.800000000001</c:v>
                </c:pt>
                <c:pt idx="20">
                  <c:v>11636.6</c:v>
                </c:pt>
                <c:pt idx="21">
                  <c:v>21671.300000000003</c:v>
                </c:pt>
                <c:pt idx="22">
                  <c:v>17712.2</c:v>
                </c:pt>
                <c:pt idx="23">
                  <c:v>20285.2</c:v>
                </c:pt>
                <c:pt idx="24">
                  <c:v>22236</c:v>
                </c:pt>
                <c:pt idx="25">
                  <c:v>28143.500000000004</c:v>
                </c:pt>
                <c:pt idx="26">
                  <c:v>27667.500000000004</c:v>
                </c:pt>
                <c:pt idx="27">
                  <c:v>19805</c:v>
                </c:pt>
                <c:pt idx="28">
                  <c:v>16294.500000000002</c:v>
                </c:pt>
                <c:pt idx="29">
                  <c:v>12095.5</c:v>
                </c:pt>
                <c:pt idx="30">
                  <c:v>17501.5</c:v>
                </c:pt>
                <c:pt idx="31">
                  <c:v>16626</c:v>
                </c:pt>
                <c:pt idx="32">
                  <c:v>15597.500000000002</c:v>
                </c:pt>
                <c:pt idx="33">
                  <c:v>20544.5</c:v>
                </c:pt>
                <c:pt idx="34">
                  <c:v>20094</c:v>
                </c:pt>
                <c:pt idx="35">
                  <c:v>20094</c:v>
                </c:pt>
                <c:pt idx="36">
                  <c:v>28101.000000000004</c:v>
                </c:pt>
                <c:pt idx="37">
                  <c:v>28379.4</c:v>
                </c:pt>
                <c:pt idx="38">
                  <c:v>28692.600000000002</c:v>
                </c:pt>
                <c:pt idx="39">
                  <c:v>18696.300000000003</c:v>
                </c:pt>
                <c:pt idx="40">
                  <c:v>19261.800000000003</c:v>
                </c:pt>
                <c:pt idx="41">
                  <c:v>20427.600000000002</c:v>
                </c:pt>
                <c:pt idx="42">
                  <c:v>14120.100000000002</c:v>
                </c:pt>
                <c:pt idx="43">
                  <c:v>19696.800000000003</c:v>
                </c:pt>
                <c:pt idx="44">
                  <c:v>17130.300000000003</c:v>
                </c:pt>
                <c:pt idx="45">
                  <c:v>20401.500000000004</c:v>
                </c:pt>
                <c:pt idx="46">
                  <c:v>20036.100000000002</c:v>
                </c:pt>
                <c:pt idx="47">
                  <c:v>14720.400000000001</c:v>
                </c:pt>
                <c:pt idx="48">
                  <c:v>32733</c:v>
                </c:pt>
                <c:pt idx="49">
                  <c:v>29943</c:v>
                </c:pt>
                <c:pt idx="50">
                  <c:v>34641</c:v>
                </c:pt>
                <c:pt idx="51">
                  <c:v>24615</c:v>
                </c:pt>
                <c:pt idx="52">
                  <c:v>25605</c:v>
                </c:pt>
                <c:pt idx="53">
                  <c:v>15849</c:v>
                </c:pt>
                <c:pt idx="54">
                  <c:v>15525</c:v>
                </c:pt>
                <c:pt idx="55">
                  <c:v>20043</c:v>
                </c:pt>
                <c:pt idx="56">
                  <c:v>20205</c:v>
                </c:pt>
                <c:pt idx="57">
                  <c:v>21105</c:v>
                </c:pt>
                <c:pt idx="58">
                  <c:v>20727</c:v>
                </c:pt>
                <c:pt idx="59">
                  <c:v>25272</c:v>
                </c:pt>
                <c:pt idx="60">
                  <c:v>24507.249999999996</c:v>
                </c:pt>
                <c:pt idx="61">
                  <c:v>25776.449999999997</c:v>
                </c:pt>
                <c:pt idx="62">
                  <c:v>25191.949999999997</c:v>
                </c:pt>
                <c:pt idx="63">
                  <c:v>23045.999999999996</c:v>
                </c:pt>
                <c:pt idx="64">
                  <c:v>18591.274999999998</c:v>
                </c:pt>
                <c:pt idx="65">
                  <c:v>17338.774999999998</c:v>
                </c:pt>
                <c:pt idx="66">
                  <c:v>15614.499999999998</c:v>
                </c:pt>
                <c:pt idx="67">
                  <c:v>16232.399999999998</c:v>
                </c:pt>
                <c:pt idx="68">
                  <c:v>17188.475</c:v>
                </c:pt>
                <c:pt idx="69">
                  <c:v>18407.574999999997</c:v>
                </c:pt>
                <c:pt idx="70">
                  <c:v>16165.599999999999</c:v>
                </c:pt>
                <c:pt idx="71">
                  <c:v>20591.1</c:v>
                </c:pt>
                <c:pt idx="72">
                  <c:v>26834.500000000004</c:v>
                </c:pt>
                <c:pt idx="73">
                  <c:v>26341.500000000004</c:v>
                </c:pt>
                <c:pt idx="74">
                  <c:v>24165.5</c:v>
                </c:pt>
                <c:pt idx="75">
                  <c:v>22074.5</c:v>
                </c:pt>
                <c:pt idx="76">
                  <c:v>17960.5</c:v>
                </c:pt>
                <c:pt idx="77">
                  <c:v>16566.5</c:v>
                </c:pt>
                <c:pt idx="78">
                  <c:v>15011.000000000002</c:v>
                </c:pt>
                <c:pt idx="79">
                  <c:v>18538.5</c:v>
                </c:pt>
                <c:pt idx="80">
                  <c:v>16804.5</c:v>
                </c:pt>
                <c:pt idx="81">
                  <c:v>19448</c:v>
                </c:pt>
                <c:pt idx="82">
                  <c:v>16728</c:v>
                </c:pt>
                <c:pt idx="83">
                  <c:v>24012.5</c:v>
                </c:pt>
                <c:pt idx="84">
                  <c:v>29318.999999999996</c:v>
                </c:pt>
                <c:pt idx="85">
                  <c:v>30371.699999999997</c:v>
                </c:pt>
                <c:pt idx="86">
                  <c:v>27944.399999999998</c:v>
                </c:pt>
                <c:pt idx="87">
                  <c:v>29211.7</c:v>
                </c:pt>
                <c:pt idx="88">
                  <c:v>20180.868</c:v>
                </c:pt>
                <c:pt idx="89">
                  <c:v>17159.01</c:v>
                </c:pt>
                <c:pt idx="90">
                  <c:v>13505.793</c:v>
                </c:pt>
                <c:pt idx="91">
                  <c:v>16953.950999999997</c:v>
                </c:pt>
                <c:pt idx="92">
                  <c:v>8792.829</c:v>
                </c:pt>
                <c:pt idx="93">
                  <c:v>23913.254999999997</c:v>
                </c:pt>
                <c:pt idx="94">
                  <c:v>14586.594</c:v>
                </c:pt>
                <c:pt idx="95">
                  <c:v>22168.296</c:v>
                </c:pt>
              </c:numCache>
            </c:numRef>
          </c:val>
          <c:smooth val="0"/>
        </c:ser>
        <c:ser>
          <c:idx val="1"/>
          <c:order val="1"/>
          <c:tx>
            <c:v>Heating Water MMBTU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SUMMARY!$B$7:$B$102</c:f>
              <c:strCache>
                <c:ptCount val="96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  <c:pt idx="72">
                  <c:v>39995</c:v>
                </c:pt>
                <c:pt idx="73">
                  <c:v>40026</c:v>
                </c:pt>
                <c:pt idx="74">
                  <c:v>40057</c:v>
                </c:pt>
                <c:pt idx="75">
                  <c:v>40087</c:v>
                </c:pt>
                <c:pt idx="76">
                  <c:v>40118</c:v>
                </c:pt>
                <c:pt idx="77">
                  <c:v>40148</c:v>
                </c:pt>
                <c:pt idx="78">
                  <c:v>40179</c:v>
                </c:pt>
                <c:pt idx="79">
                  <c:v>40210</c:v>
                </c:pt>
                <c:pt idx="80">
                  <c:v>40238</c:v>
                </c:pt>
                <c:pt idx="81">
                  <c:v>40269</c:v>
                </c:pt>
                <c:pt idx="82">
                  <c:v>40299</c:v>
                </c:pt>
                <c:pt idx="83">
                  <c:v>40330</c:v>
                </c:pt>
                <c:pt idx="84">
                  <c:v>40360</c:v>
                </c:pt>
                <c:pt idx="85">
                  <c:v>40391</c:v>
                </c:pt>
                <c:pt idx="86">
                  <c:v>40422</c:v>
                </c:pt>
                <c:pt idx="87">
                  <c:v>40452</c:v>
                </c:pt>
                <c:pt idx="88">
                  <c:v>40483</c:v>
                </c:pt>
                <c:pt idx="89">
                  <c:v>40513</c:v>
                </c:pt>
                <c:pt idx="90">
                  <c:v>40544</c:v>
                </c:pt>
                <c:pt idx="91">
                  <c:v>40575</c:v>
                </c:pt>
                <c:pt idx="92">
                  <c:v>40603</c:v>
                </c:pt>
                <c:pt idx="93">
                  <c:v>40634</c:v>
                </c:pt>
                <c:pt idx="94">
                  <c:v>40664</c:v>
                </c:pt>
                <c:pt idx="95">
                  <c:v>40695</c:v>
                </c:pt>
              </c:strCache>
            </c:strRef>
          </c:cat>
          <c:val>
            <c:numRef>
              <c:f>SUMMARY!$C$7:$C$102</c:f>
              <c:numCache>
                <c:ptCount val="96"/>
                <c:pt idx="0">
                  <c:v>1995.84</c:v>
                </c:pt>
                <c:pt idx="1">
                  <c:v>3336.795</c:v>
                </c:pt>
                <c:pt idx="2">
                  <c:v>2494.7999999999997</c:v>
                </c:pt>
                <c:pt idx="3">
                  <c:v>11548.845</c:v>
                </c:pt>
                <c:pt idx="4">
                  <c:v>14180.859000000008</c:v>
                </c:pt>
                <c:pt idx="5">
                  <c:v>20771.288999999986</c:v>
                </c:pt>
                <c:pt idx="6">
                  <c:v>21896.65170000001</c:v>
                </c:pt>
                <c:pt idx="7">
                  <c:v>19560.37544999999</c:v>
                </c:pt>
                <c:pt idx="8">
                  <c:v>16047.073349999995</c:v>
                </c:pt>
                <c:pt idx="9">
                  <c:v>14572.750500000015</c:v>
                </c:pt>
                <c:pt idx="10">
                  <c:v>8341.9875</c:v>
                </c:pt>
                <c:pt idx="11">
                  <c:v>7690.220999999992</c:v>
                </c:pt>
                <c:pt idx="12">
                  <c:v>9796.02421875</c:v>
                </c:pt>
                <c:pt idx="13">
                  <c:v>10030.99453125</c:v>
                </c:pt>
                <c:pt idx="14">
                  <c:v>7466.461406249992</c:v>
                </c:pt>
                <c:pt idx="15">
                  <c:v>10667.652187500016</c:v>
                </c:pt>
                <c:pt idx="16">
                  <c:v>14748.303281249984</c:v>
                </c:pt>
                <c:pt idx="17">
                  <c:v>24005.014687500017</c:v>
                </c:pt>
                <c:pt idx="18">
                  <c:v>23193.807656249977</c:v>
                </c:pt>
                <c:pt idx="19">
                  <c:v>19321.273125000032</c:v>
                </c:pt>
                <c:pt idx="20">
                  <c:v>15021.31640625</c:v>
                </c:pt>
                <c:pt idx="21">
                  <c:v>14884.809843749952</c:v>
                </c:pt>
                <c:pt idx="22">
                  <c:v>11315.498906250034</c:v>
                </c:pt>
                <c:pt idx="23">
                  <c:v>8005.77421875</c:v>
                </c:pt>
                <c:pt idx="24">
                  <c:v>9240.146540625032</c:v>
                </c:pt>
                <c:pt idx="25">
                  <c:v>10775.20506562498</c:v>
                </c:pt>
                <c:pt idx="26">
                  <c:v>10753.990747499995</c:v>
                </c:pt>
                <c:pt idx="27">
                  <c:v>8708.358408750002</c:v>
                </c:pt>
                <c:pt idx="28">
                  <c:v>10282.985212499945</c:v>
                </c:pt>
                <c:pt idx="29">
                  <c:v>13155.260868750032</c:v>
                </c:pt>
                <c:pt idx="30">
                  <c:v>20252.52291562503</c:v>
                </c:pt>
                <c:pt idx="31">
                  <c:v>16394.61573749998</c:v>
                </c:pt>
                <c:pt idx="32">
                  <c:v>17517.306056249945</c:v>
                </c:pt>
                <c:pt idx="33">
                  <c:v>16082.360043750014</c:v>
                </c:pt>
                <c:pt idx="34">
                  <c:v>10706.079759375032</c:v>
                </c:pt>
                <c:pt idx="35">
                  <c:v>8905.246349999963</c:v>
                </c:pt>
                <c:pt idx="36">
                  <c:v>12622.342064062555</c:v>
                </c:pt>
                <c:pt idx="37">
                  <c:v>11353.450040624984</c:v>
                </c:pt>
                <c:pt idx="38">
                  <c:v>12110.552901562518</c:v>
                </c:pt>
                <c:pt idx="39">
                  <c:v>9626.487182812423</c:v>
                </c:pt>
                <c:pt idx="40">
                  <c:v>18189.35146875002</c:v>
                </c:pt>
                <c:pt idx="41">
                  <c:v>25238.823946874985</c:v>
                </c:pt>
                <c:pt idx="42">
                  <c:v>22108.022114062576</c:v>
                </c:pt>
                <c:pt idx="43">
                  <c:v>34849.35841406247</c:v>
                </c:pt>
                <c:pt idx="44">
                  <c:v>25769.17035000001</c:v>
                </c:pt>
                <c:pt idx="45">
                  <c:v>23829.287573437425</c:v>
                </c:pt>
                <c:pt idx="46">
                  <c:v>14965.926215625075</c:v>
                </c:pt>
                <c:pt idx="47">
                  <c:v>12087.112176562481</c:v>
                </c:pt>
                <c:pt idx="48">
                  <c:v>17893.83064218753</c:v>
                </c:pt>
                <c:pt idx="49">
                  <c:v>14910.824053124996</c:v>
                </c:pt>
                <c:pt idx="50">
                  <c:v>17604.881043750018</c:v>
                </c:pt>
                <c:pt idx="51">
                  <c:v>12978.393553124888</c:v>
                </c:pt>
                <c:pt idx="52">
                  <c:v>21486.028626562453</c:v>
                </c:pt>
                <c:pt idx="53">
                  <c:v>21754.84874062513</c:v>
                </c:pt>
                <c:pt idx="54">
                  <c:v>25547.24359687496</c:v>
                </c:pt>
                <c:pt idx="55">
                  <c:v>31069.127151562458</c:v>
                </c:pt>
                <c:pt idx="56">
                  <c:v>28365.005418750152</c:v>
                </c:pt>
                <c:pt idx="57">
                  <c:v>19462.649456249957</c:v>
                </c:pt>
                <c:pt idx="58">
                  <c:v>13078.491989062544</c:v>
                </c:pt>
                <c:pt idx="59">
                  <c:v>13045.003846875012</c:v>
                </c:pt>
                <c:pt idx="60">
                  <c:v>10960.614603999868</c:v>
                </c:pt>
                <c:pt idx="61">
                  <c:v>10993.835512000112</c:v>
                </c:pt>
                <c:pt idx="62">
                  <c:v>10860.424563999919</c:v>
                </c:pt>
                <c:pt idx="63">
                  <c:v>14492.049855999929</c:v>
                </c:pt>
                <c:pt idx="64">
                  <c:v>20256.316823999972</c:v>
                </c:pt>
                <c:pt idx="65">
                  <c:v>22604.982288000145</c:v>
                </c:pt>
                <c:pt idx="66">
                  <c:v>30784.004992000013</c:v>
                </c:pt>
                <c:pt idx="67">
                  <c:v>30777.85297199991</c:v>
                </c:pt>
                <c:pt idx="68">
                  <c:v>25149.281988000144</c:v>
                </c:pt>
                <c:pt idx="69">
                  <c:v>20820.1934</c:v>
                </c:pt>
                <c:pt idx="70">
                  <c:v>11093.498235999827</c:v>
                </c:pt>
                <c:pt idx="71">
                  <c:v>12069.20860799999</c:v>
                </c:pt>
                <c:pt idx="72">
                  <c:v>12095.38161562498</c:v>
                </c:pt>
                <c:pt idx="73">
                  <c:v>12019.511831250087</c:v>
                </c:pt>
                <c:pt idx="74">
                  <c:v>5882.415</c:v>
                </c:pt>
                <c:pt idx="75">
                  <c:v>20251.7176640626</c:v>
                </c:pt>
                <c:pt idx="76">
                  <c:v>15990.47618437501</c:v>
                </c:pt>
                <c:pt idx="77">
                  <c:v>21950.766337499823</c:v>
                </c:pt>
                <c:pt idx="78">
                  <c:v>26591.690967187675</c:v>
                </c:pt>
                <c:pt idx="79">
                  <c:v>26355.725910937508</c:v>
                </c:pt>
                <c:pt idx="80">
                  <c:v>21084.614151562295</c:v>
                </c:pt>
                <c:pt idx="81">
                  <c:v>15361.291739062606</c:v>
                </c:pt>
                <c:pt idx="82">
                  <c:v>12592.378837500068</c:v>
                </c:pt>
                <c:pt idx="83">
                  <c:v>9666.21160312497</c:v>
                </c:pt>
                <c:pt idx="84">
                  <c:v>7897.081499999955</c:v>
                </c:pt>
                <c:pt idx="85">
                  <c:v>7918.245431250108</c:v>
                </c:pt>
                <c:pt idx="86">
                  <c:v>7937.24662499982</c:v>
                </c:pt>
                <c:pt idx="87">
                  <c:v>10555.549331250126</c:v>
                </c:pt>
                <c:pt idx="88">
                  <c:v>16066.513443749982</c:v>
                </c:pt>
                <c:pt idx="89">
                  <c:v>20256.35390625</c:v>
                </c:pt>
                <c:pt idx="90">
                  <c:v>25412.320106249917</c:v>
                </c:pt>
                <c:pt idx="91">
                  <c:v>22049.108812500042</c:v>
                </c:pt>
                <c:pt idx="92">
                  <c:v>19666.235531250044</c:v>
                </c:pt>
                <c:pt idx="93">
                  <c:v>12362.207549999855</c:v>
                </c:pt>
                <c:pt idx="94">
                  <c:v>7305.572793750053</c:v>
                </c:pt>
                <c:pt idx="95">
                  <c:v>3588.5994375000446</c:v>
                </c:pt>
              </c:numCache>
            </c:numRef>
          </c:val>
          <c:smooth val="0"/>
        </c:ser>
        <c:ser>
          <c:idx val="2"/>
          <c:order val="2"/>
          <c:tx>
            <c:v>Natural Gas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SUMMARY!$B$7:$B$102</c:f>
              <c:strCache>
                <c:ptCount val="96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  <c:pt idx="72">
                  <c:v>39995</c:v>
                </c:pt>
                <c:pt idx="73">
                  <c:v>40026</c:v>
                </c:pt>
                <c:pt idx="74">
                  <c:v>40057</c:v>
                </c:pt>
                <c:pt idx="75">
                  <c:v>40087</c:v>
                </c:pt>
                <c:pt idx="76">
                  <c:v>40118</c:v>
                </c:pt>
                <c:pt idx="77">
                  <c:v>40148</c:v>
                </c:pt>
                <c:pt idx="78">
                  <c:v>40179</c:v>
                </c:pt>
                <c:pt idx="79">
                  <c:v>40210</c:v>
                </c:pt>
                <c:pt idx="80">
                  <c:v>40238</c:v>
                </c:pt>
                <c:pt idx="81">
                  <c:v>40269</c:v>
                </c:pt>
                <c:pt idx="82">
                  <c:v>40299</c:v>
                </c:pt>
                <c:pt idx="83">
                  <c:v>40330</c:v>
                </c:pt>
                <c:pt idx="84">
                  <c:v>40360</c:v>
                </c:pt>
                <c:pt idx="85">
                  <c:v>40391</c:v>
                </c:pt>
                <c:pt idx="86">
                  <c:v>40422</c:v>
                </c:pt>
                <c:pt idx="87">
                  <c:v>40452</c:v>
                </c:pt>
                <c:pt idx="88">
                  <c:v>40483</c:v>
                </c:pt>
                <c:pt idx="89">
                  <c:v>40513</c:v>
                </c:pt>
                <c:pt idx="90">
                  <c:v>40544</c:v>
                </c:pt>
                <c:pt idx="91">
                  <c:v>40575</c:v>
                </c:pt>
                <c:pt idx="92">
                  <c:v>40603</c:v>
                </c:pt>
                <c:pt idx="93">
                  <c:v>40634</c:v>
                </c:pt>
                <c:pt idx="94">
                  <c:v>40664</c:v>
                </c:pt>
                <c:pt idx="95">
                  <c:v>40695</c:v>
                </c:pt>
              </c:strCache>
            </c:strRef>
          </c:cat>
          <c:val>
            <c:numRef>
              <c:f>SUMMARY!$E$7:$E$102</c:f>
              <c:numCache>
                <c:ptCount val="96"/>
                <c:pt idx="0">
                  <c:v>78.5258058252424</c:v>
                </c:pt>
                <c:pt idx="1">
                  <c:v>90.25137864077702</c:v>
                </c:pt>
                <c:pt idx="2">
                  <c:v>764.8271359223301</c:v>
                </c:pt>
                <c:pt idx="3">
                  <c:v>1347.552572815534</c:v>
                </c:pt>
                <c:pt idx="4">
                  <c:v>1213.419126213592</c:v>
                </c:pt>
                <c:pt idx="5">
                  <c:v>1260.4990776699026</c:v>
                </c:pt>
                <c:pt idx="6">
                  <c:v>1516.3297572815532</c:v>
                </c:pt>
                <c:pt idx="7">
                  <c:v>1289.8130097087378</c:v>
                </c:pt>
                <c:pt idx="8">
                  <c:v>1204.5361165048544</c:v>
                </c:pt>
                <c:pt idx="9">
                  <c:v>1374.2016019417474</c:v>
                </c:pt>
                <c:pt idx="10">
                  <c:v>780.8165533980582</c:v>
                </c:pt>
                <c:pt idx="11">
                  <c:v>824.3433009708738</c:v>
                </c:pt>
                <c:pt idx="12">
                  <c:v>855.4859223300969</c:v>
                </c:pt>
                <c:pt idx="13">
                  <c:v>825.3033980582522</c:v>
                </c:pt>
                <c:pt idx="14">
                  <c:v>1194.096116504854</c:v>
                </c:pt>
                <c:pt idx="15">
                  <c:v>1909.0446601941746</c:v>
                </c:pt>
                <c:pt idx="16">
                  <c:v>1497.807766990291</c:v>
                </c:pt>
                <c:pt idx="17">
                  <c:v>1289.359708737864</c:v>
                </c:pt>
                <c:pt idx="18">
                  <c:v>1545.9111650485434</c:v>
                </c:pt>
                <c:pt idx="19">
                  <c:v>1557.2296116504851</c:v>
                </c:pt>
                <c:pt idx="20">
                  <c:v>1005.455339805825</c:v>
                </c:pt>
                <c:pt idx="21">
                  <c:v>1561.9456310679607</c:v>
                </c:pt>
                <c:pt idx="22">
                  <c:v>812.0985436893202</c:v>
                </c:pt>
                <c:pt idx="23">
                  <c:v>812.0985436893202</c:v>
                </c:pt>
                <c:pt idx="24">
                  <c:v>822.2361553398058</c:v>
                </c:pt>
                <c:pt idx="25">
                  <c:v>781.5215631067961</c:v>
                </c:pt>
                <c:pt idx="26">
                  <c:v>1135.0433883495148</c:v>
                </c:pt>
                <c:pt idx="27">
                  <c:v>828.5916038834966</c:v>
                </c:pt>
                <c:pt idx="28">
                  <c:v>1761.2536776699017</c:v>
                </c:pt>
                <c:pt idx="29">
                  <c:v>1225.4099223300973</c:v>
                </c:pt>
                <c:pt idx="30">
                  <c:v>1460.760126213592</c:v>
                </c:pt>
                <c:pt idx="31">
                  <c:v>1882.8016310679614</c:v>
                </c:pt>
                <c:pt idx="32">
                  <c:v>1579.9247864077668</c:v>
                </c:pt>
                <c:pt idx="33">
                  <c:v>1858.9686990291264</c:v>
                </c:pt>
                <c:pt idx="34">
                  <c:v>1069.5028252427185</c:v>
                </c:pt>
                <c:pt idx="35">
                  <c:v>562.0599805825242</c:v>
                </c:pt>
                <c:pt idx="36">
                  <c:v>1147.6806873786422</c:v>
                </c:pt>
                <c:pt idx="37">
                  <c:v>1003.6049708737798</c:v>
                </c:pt>
                <c:pt idx="38">
                  <c:v>2076.4075456310725</c:v>
                </c:pt>
                <c:pt idx="39">
                  <c:v>3186.024466019417</c:v>
                </c:pt>
                <c:pt idx="40">
                  <c:v>3077.0633009708736</c:v>
                </c:pt>
                <c:pt idx="41">
                  <c:v>3386.5130097087376</c:v>
                </c:pt>
                <c:pt idx="42">
                  <c:v>1836.3588349514562</c:v>
                </c:pt>
                <c:pt idx="43">
                  <c:v>3616.0578640776694</c:v>
                </c:pt>
                <c:pt idx="44">
                  <c:v>4516.803495145631</c:v>
                </c:pt>
                <c:pt idx="45">
                  <c:v>2940.4986407766987</c:v>
                </c:pt>
                <c:pt idx="46">
                  <c:v>562.2396116504854</c:v>
                </c:pt>
                <c:pt idx="47">
                  <c:v>1051.8384466019418</c:v>
                </c:pt>
                <c:pt idx="48">
                  <c:v>1499.3619417475725</c:v>
                </c:pt>
                <c:pt idx="49">
                  <c:v>1322.20854368932</c:v>
                </c:pt>
                <c:pt idx="50">
                  <c:v>2085.5786407766986</c:v>
                </c:pt>
                <c:pt idx="51">
                  <c:v>1992.1704854368927</c:v>
                </c:pt>
                <c:pt idx="52">
                  <c:v>3589.7720388349503</c:v>
                </c:pt>
                <c:pt idx="53">
                  <c:v>3238.6862135922324</c:v>
                </c:pt>
                <c:pt idx="54">
                  <c:v>2045.3165048543683</c:v>
                </c:pt>
                <c:pt idx="55">
                  <c:v>3261.233009708737</c:v>
                </c:pt>
                <c:pt idx="56">
                  <c:v>5209.920388349513</c:v>
                </c:pt>
                <c:pt idx="57">
                  <c:v>3457.7122330097077</c:v>
                </c:pt>
                <c:pt idx="58">
                  <c:v>2021.1592233009703</c:v>
                </c:pt>
                <c:pt idx="59">
                  <c:v>1628.2007766990287</c:v>
                </c:pt>
                <c:pt idx="60">
                  <c:v>1424.8120500000002</c:v>
                </c:pt>
                <c:pt idx="61">
                  <c:v>1384.05835</c:v>
                </c:pt>
                <c:pt idx="62">
                  <c:v>1846.4561</c:v>
                </c:pt>
                <c:pt idx="63">
                  <c:v>2371.55185</c:v>
                </c:pt>
                <c:pt idx="64">
                  <c:v>3580.0558</c:v>
                </c:pt>
                <c:pt idx="65">
                  <c:v>3407.6363000000006</c:v>
                </c:pt>
                <c:pt idx="66">
                  <c:v>2672.50225</c:v>
                </c:pt>
                <c:pt idx="67">
                  <c:v>3570.6511</c:v>
                </c:pt>
                <c:pt idx="68">
                  <c:v>3365.31515</c:v>
                </c:pt>
                <c:pt idx="69">
                  <c:v>4581.656349999999</c:v>
                </c:pt>
                <c:pt idx="70">
                  <c:v>1656.7946499999998</c:v>
                </c:pt>
                <c:pt idx="71">
                  <c:v>1506.31945</c:v>
                </c:pt>
                <c:pt idx="72">
                  <c:v>1377.5174</c:v>
                </c:pt>
                <c:pt idx="73">
                  <c:v>2684.4314</c:v>
                </c:pt>
                <c:pt idx="74">
                  <c:v>3991.3453999999997</c:v>
                </c:pt>
                <c:pt idx="75">
                  <c:v>2696.4489999999996</c:v>
                </c:pt>
                <c:pt idx="76">
                  <c:v>2669.4094</c:v>
                </c:pt>
                <c:pt idx="77">
                  <c:v>3023.9285999999997</c:v>
                </c:pt>
                <c:pt idx="78">
                  <c:v>2849.6733999999997</c:v>
                </c:pt>
                <c:pt idx="79">
                  <c:v>2849.6733999999997</c:v>
                </c:pt>
                <c:pt idx="80">
                  <c:v>3763.011</c:v>
                </c:pt>
                <c:pt idx="81">
                  <c:v>2783.5766</c:v>
                </c:pt>
                <c:pt idx="82">
                  <c:v>1602.8473999999999</c:v>
                </c:pt>
                <c:pt idx="83">
                  <c:v>1401.5526</c:v>
                </c:pt>
                <c:pt idx="84">
                  <c:v>1308.2538000000002</c:v>
                </c:pt>
                <c:pt idx="85">
                  <c:v>1026.7131</c:v>
                </c:pt>
                <c:pt idx="86">
                  <c:v>3024.1113</c:v>
                </c:pt>
                <c:pt idx="87">
                  <c:v>2220.1095</c:v>
                </c:pt>
                <c:pt idx="88">
                  <c:v>2522.6607</c:v>
                </c:pt>
                <c:pt idx="89">
                  <c:v>5366.0817</c:v>
                </c:pt>
                <c:pt idx="90">
                  <c:v>3479.3388</c:v>
                </c:pt>
                <c:pt idx="91">
                  <c:v>3325.2618</c:v>
                </c:pt>
                <c:pt idx="92">
                  <c:v>3921.96</c:v>
                </c:pt>
                <c:pt idx="93">
                  <c:v>3196.3974</c:v>
                </c:pt>
                <c:pt idx="94">
                  <c:v>2136.0675</c:v>
                </c:pt>
                <c:pt idx="95">
                  <c:v>1654.2267000000002</c:v>
                </c:pt>
              </c:numCache>
            </c:numRef>
          </c:val>
          <c:smooth val="0"/>
        </c:ser>
        <c:ser>
          <c:idx val="3"/>
          <c:order val="3"/>
          <c:tx>
            <c:v>Domestic Water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SUMMARY!$B$7:$B$102</c:f>
              <c:strCache>
                <c:ptCount val="96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  <c:pt idx="71">
                  <c:v>39965</c:v>
                </c:pt>
                <c:pt idx="72">
                  <c:v>39995</c:v>
                </c:pt>
                <c:pt idx="73">
                  <c:v>40026</c:v>
                </c:pt>
                <c:pt idx="74">
                  <c:v>40057</c:v>
                </c:pt>
                <c:pt idx="75">
                  <c:v>40087</c:v>
                </c:pt>
                <c:pt idx="76">
                  <c:v>40118</c:v>
                </c:pt>
                <c:pt idx="77">
                  <c:v>40148</c:v>
                </c:pt>
                <c:pt idx="78">
                  <c:v>40179</c:v>
                </c:pt>
                <c:pt idx="79">
                  <c:v>40210</c:v>
                </c:pt>
                <c:pt idx="80">
                  <c:v>40238</c:v>
                </c:pt>
                <c:pt idx="81">
                  <c:v>40269</c:v>
                </c:pt>
                <c:pt idx="82">
                  <c:v>40299</c:v>
                </c:pt>
                <c:pt idx="83">
                  <c:v>40330</c:v>
                </c:pt>
                <c:pt idx="84">
                  <c:v>40360</c:v>
                </c:pt>
                <c:pt idx="85">
                  <c:v>40391</c:v>
                </c:pt>
                <c:pt idx="86">
                  <c:v>40422</c:v>
                </c:pt>
                <c:pt idx="87">
                  <c:v>40452</c:v>
                </c:pt>
                <c:pt idx="88">
                  <c:v>40483</c:v>
                </c:pt>
                <c:pt idx="89">
                  <c:v>40513</c:v>
                </c:pt>
                <c:pt idx="90">
                  <c:v>40544</c:v>
                </c:pt>
                <c:pt idx="91">
                  <c:v>40575</c:v>
                </c:pt>
                <c:pt idx="92">
                  <c:v>40603</c:v>
                </c:pt>
                <c:pt idx="93">
                  <c:v>40634</c:v>
                </c:pt>
                <c:pt idx="94">
                  <c:v>40664</c:v>
                </c:pt>
                <c:pt idx="95">
                  <c:v>40695</c:v>
                </c:pt>
              </c:strCache>
            </c:strRef>
          </c:cat>
          <c:val>
            <c:numRef>
              <c:f>SUMMARY!$F$7:$F$102</c:f>
              <c:numCache>
                <c:ptCount val="96"/>
                <c:pt idx="0">
                  <c:v>1186.4973262032088</c:v>
                </c:pt>
                <c:pt idx="1">
                  <c:v>1186.4973262032088</c:v>
                </c:pt>
                <c:pt idx="2">
                  <c:v>1461.1543832113225</c:v>
                </c:pt>
                <c:pt idx="3">
                  <c:v>2152.92689949921</c:v>
                </c:pt>
                <c:pt idx="4">
                  <c:v>1978.8341010032082</c:v>
                </c:pt>
                <c:pt idx="5">
                  <c:v>2012.3387527892307</c:v>
                </c:pt>
                <c:pt idx="6">
                  <c:v>1663.7261357254447</c:v>
                </c:pt>
                <c:pt idx="7">
                  <c:v>2840.527758162758</c:v>
                </c:pt>
                <c:pt idx="8">
                  <c:v>1509.440499020591</c:v>
                </c:pt>
                <c:pt idx="9">
                  <c:v>3127.7493315508023</c:v>
                </c:pt>
                <c:pt idx="10">
                  <c:v>2463.643048128342</c:v>
                </c:pt>
                <c:pt idx="11">
                  <c:v>2523.442513368985</c:v>
                </c:pt>
                <c:pt idx="12">
                  <c:v>2396.7245989304815</c:v>
                </c:pt>
                <c:pt idx="13">
                  <c:v>3419.425969251338</c:v>
                </c:pt>
                <c:pt idx="14">
                  <c:v>2617.4131016042775</c:v>
                </c:pt>
                <c:pt idx="15">
                  <c:v>3410.942513368983</c:v>
                </c:pt>
                <c:pt idx="16">
                  <c:v>2591.3101604278067</c:v>
                </c:pt>
                <c:pt idx="17">
                  <c:v>2261.463903743319</c:v>
                </c:pt>
                <c:pt idx="18">
                  <c:v>2144.237967914438</c:v>
                </c:pt>
                <c:pt idx="19">
                  <c:v>2262.8877005347586</c:v>
                </c:pt>
                <c:pt idx="20">
                  <c:v>1584.6858288770038</c:v>
                </c:pt>
                <c:pt idx="21">
                  <c:v>3137.5735294117685</c:v>
                </c:pt>
                <c:pt idx="22">
                  <c:v>2567.1056149732617</c:v>
                </c:pt>
                <c:pt idx="23">
                  <c:v>2671.0427807486617</c:v>
                </c:pt>
                <c:pt idx="24">
                  <c:v>3922.560160427804</c:v>
                </c:pt>
                <c:pt idx="25">
                  <c:v>4305.561497326204</c:v>
                </c:pt>
                <c:pt idx="26">
                  <c:v>3626.030748663102</c:v>
                </c:pt>
                <c:pt idx="27">
                  <c:v>2614.945187165779</c:v>
                </c:pt>
                <c:pt idx="28">
                  <c:v>1790.6617647058806</c:v>
                </c:pt>
                <c:pt idx="29">
                  <c:v>1697.640374331551</c:v>
                </c:pt>
                <c:pt idx="30">
                  <c:v>1558.5828877005401</c:v>
                </c:pt>
                <c:pt idx="31">
                  <c:v>1783.5427807486615</c:v>
                </c:pt>
                <c:pt idx="32">
                  <c:v>1363.997326203207</c:v>
                </c:pt>
                <c:pt idx="33">
                  <c:v>2103.897058823533</c:v>
                </c:pt>
                <c:pt idx="34">
                  <c:v>2573.749999999995</c:v>
                </c:pt>
                <c:pt idx="35">
                  <c:v>2203.0882352941176</c:v>
                </c:pt>
                <c:pt idx="36">
                  <c:v>2963.6804812834234</c:v>
                </c:pt>
                <c:pt idx="37">
                  <c:v>2906.1590909090937</c:v>
                </c:pt>
                <c:pt idx="38">
                  <c:v>4105.280748663098</c:v>
                </c:pt>
                <c:pt idx="39">
                  <c:v>3090.1136363636383</c:v>
                </c:pt>
                <c:pt idx="40">
                  <c:v>2533.9311497326216</c:v>
                </c:pt>
                <c:pt idx="41">
                  <c:v>2121.93181818182</c:v>
                </c:pt>
                <c:pt idx="42">
                  <c:v>1426.929144385028</c:v>
                </c:pt>
                <c:pt idx="43">
                  <c:v>1998.7259358288743</c:v>
                </c:pt>
                <c:pt idx="44">
                  <c:v>1872.1504010695173</c:v>
                </c:pt>
                <c:pt idx="45">
                  <c:v>2105.937834224595</c:v>
                </c:pt>
                <c:pt idx="46">
                  <c:v>2363.407754010693</c:v>
                </c:pt>
                <c:pt idx="47">
                  <c:v>2220.1263368983964</c:v>
                </c:pt>
                <c:pt idx="48">
                  <c:v>4100.667914438505</c:v>
                </c:pt>
                <c:pt idx="49">
                  <c:v>3279.8101604278036</c:v>
                </c:pt>
                <c:pt idx="50">
                  <c:v>3762.5582887700634</c:v>
                </c:pt>
                <c:pt idx="51">
                  <c:v>2750.333422459887</c:v>
                </c:pt>
                <c:pt idx="52">
                  <c:v>2779.6917112299548</c:v>
                </c:pt>
                <c:pt idx="53">
                  <c:v>2187.68181818182</c:v>
                </c:pt>
                <c:pt idx="54">
                  <c:v>980.6157754010475</c:v>
                </c:pt>
                <c:pt idx="55">
                  <c:v>2154.947326203222</c:v>
                </c:pt>
                <c:pt idx="56">
                  <c:v>2219.927005347587</c:v>
                </c:pt>
                <c:pt idx="57">
                  <c:v>2274.288770053469</c:v>
                </c:pt>
                <c:pt idx="58">
                  <c:v>2310.6930481283534</c:v>
                </c:pt>
                <c:pt idx="59">
                  <c:v>2538.513368983957</c:v>
                </c:pt>
                <c:pt idx="60">
                  <c:v>2723.3244652406333</c:v>
                </c:pt>
                <c:pt idx="61">
                  <c:v>3087.895721925138</c:v>
                </c:pt>
                <c:pt idx="62">
                  <c:v>3353.5885026738</c:v>
                </c:pt>
                <c:pt idx="63">
                  <c:v>3191.285561497332</c:v>
                </c:pt>
                <c:pt idx="64">
                  <c:v>2904.840508021382</c:v>
                </c:pt>
                <c:pt idx="65">
                  <c:v>2067.743716577545</c:v>
                </c:pt>
                <c:pt idx="66">
                  <c:v>1725.0393048128287</c:v>
                </c:pt>
                <c:pt idx="67">
                  <c:v>2613.4064171122996</c:v>
                </c:pt>
                <c:pt idx="68">
                  <c:v>2030.1136363636365</c:v>
                </c:pt>
                <c:pt idx="69">
                  <c:v>3541.1020053475872</c:v>
                </c:pt>
                <c:pt idx="70">
                  <c:v>2010.5290106951868</c:v>
                </c:pt>
                <c:pt idx="71">
                  <c:v>3120.802139037445</c:v>
                </c:pt>
                <c:pt idx="72">
                  <c:v>3165.1727272727303</c:v>
                </c:pt>
                <c:pt idx="73">
                  <c:v>3133.5931818181775</c:v>
                </c:pt>
                <c:pt idx="74">
                  <c:v>1955.3311497326235</c:v>
                </c:pt>
                <c:pt idx="75">
                  <c:v>4072.912165775398</c:v>
                </c:pt>
                <c:pt idx="76">
                  <c:v>2491.015775401059</c:v>
                </c:pt>
                <c:pt idx="77">
                  <c:v>2298.778609625675</c:v>
                </c:pt>
                <c:pt idx="78">
                  <c:v>1670.4252673796732</c:v>
                </c:pt>
                <c:pt idx="79">
                  <c:v>2256.9025401069534</c:v>
                </c:pt>
                <c:pt idx="80">
                  <c:v>2046.9383689839638</c:v>
                </c:pt>
                <c:pt idx="81">
                  <c:v>2700.343048128348</c:v>
                </c:pt>
                <c:pt idx="82">
                  <c:v>1759.0072192513355</c:v>
                </c:pt>
                <c:pt idx="83">
                  <c:v>2787.2796791443848</c:v>
                </c:pt>
                <c:pt idx="84">
                  <c:v>3209.294117647065</c:v>
                </c:pt>
                <c:pt idx="85">
                  <c:v>3146.8088235293985</c:v>
                </c:pt>
                <c:pt idx="86">
                  <c:v>3515.5441176470576</c:v>
                </c:pt>
                <c:pt idx="87">
                  <c:v>2790.889705882355</c:v>
                </c:pt>
                <c:pt idx="88">
                  <c:v>2825.9926470588275</c:v>
                </c:pt>
                <c:pt idx="89">
                  <c:v>2264.5514705882415</c:v>
                </c:pt>
                <c:pt idx="90">
                  <c:v>2003.8014705882238</c:v>
                </c:pt>
                <c:pt idx="91">
                  <c:v>1971.889705882356</c:v>
                </c:pt>
                <c:pt idx="92">
                  <c:v>1931.7941176470722</c:v>
                </c:pt>
                <c:pt idx="93">
                  <c:v>1841.2058823529173</c:v>
                </c:pt>
                <c:pt idx="94">
                  <c:v>1641.2941176470902</c:v>
                </c:pt>
                <c:pt idx="95">
                  <c:v>1958.4558823529192</c:v>
                </c:pt>
              </c:numCache>
            </c:numRef>
          </c:val>
          <c:smooth val="0"/>
        </c:ser>
        <c:marker val="1"/>
        <c:axId val="15299479"/>
        <c:axId val="3477584"/>
      </c:lineChart>
      <c:dateAx>
        <c:axId val="15299479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7584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3477584"/>
        <c:scaling>
          <c:orientation val="minMax"/>
          <c:max val="4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994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25"/>
          <c:y val="0.129"/>
          <c:w val="0.316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 Electrical and High Temp Hot Water Consumption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1725"/>
          <c:w val="0.925"/>
          <c:h val="0.8685"/>
        </c:manualLayout>
      </c:layout>
      <c:lineChart>
        <c:grouping val="standard"/>
        <c:varyColors val="0"/>
        <c:ser>
          <c:idx val="0"/>
          <c:order val="0"/>
          <c:tx>
            <c:v>Electricity kW-hours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'HTHW Usage'!$A$8:$A$78</c:f>
              <c:strCache>
                <c:ptCount val="71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38189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  <c:pt idx="51">
                  <c:v>39356</c:v>
                </c:pt>
                <c:pt idx="52">
                  <c:v>39387</c:v>
                </c:pt>
                <c:pt idx="53">
                  <c:v>39417</c:v>
                </c:pt>
                <c:pt idx="54">
                  <c:v>39448</c:v>
                </c:pt>
                <c:pt idx="55">
                  <c:v>39479</c:v>
                </c:pt>
                <c:pt idx="56">
                  <c:v>39508</c:v>
                </c:pt>
                <c:pt idx="57">
                  <c:v>39539</c:v>
                </c:pt>
                <c:pt idx="58">
                  <c:v>39569</c:v>
                </c:pt>
                <c:pt idx="59">
                  <c:v>39600</c:v>
                </c:pt>
                <c:pt idx="60">
                  <c:v>39630</c:v>
                </c:pt>
                <c:pt idx="61">
                  <c:v>39661</c:v>
                </c:pt>
                <c:pt idx="62">
                  <c:v>39692</c:v>
                </c:pt>
                <c:pt idx="63">
                  <c:v>39722</c:v>
                </c:pt>
                <c:pt idx="64">
                  <c:v>39753</c:v>
                </c:pt>
                <c:pt idx="65">
                  <c:v>39783</c:v>
                </c:pt>
                <c:pt idx="66">
                  <c:v>39814</c:v>
                </c:pt>
                <c:pt idx="67">
                  <c:v>39845</c:v>
                </c:pt>
                <c:pt idx="68">
                  <c:v>39873</c:v>
                </c:pt>
                <c:pt idx="69">
                  <c:v>39904</c:v>
                </c:pt>
                <c:pt idx="70">
                  <c:v>39934</c:v>
                </c:pt>
              </c:strCache>
            </c:strRef>
          </c:cat>
          <c:val>
            <c:numRef>
              <c:f>Electric!$L$7:$L$78</c:f>
              <c:numCache>
                <c:ptCount val="72"/>
                <c:pt idx="0">
                  <c:v>89460</c:v>
                </c:pt>
                <c:pt idx="1">
                  <c:v>119460</c:v>
                </c:pt>
                <c:pt idx="2">
                  <c:v>117610</c:v>
                </c:pt>
                <c:pt idx="3">
                  <c:v>201700</c:v>
                </c:pt>
                <c:pt idx="4">
                  <c:v>188900</c:v>
                </c:pt>
                <c:pt idx="5">
                  <c:v>213800</c:v>
                </c:pt>
                <c:pt idx="6">
                  <c:v>200500</c:v>
                </c:pt>
                <c:pt idx="7">
                  <c:v>184300</c:v>
                </c:pt>
                <c:pt idx="8">
                  <c:v>182200</c:v>
                </c:pt>
                <c:pt idx="9">
                  <c:v>230100</c:v>
                </c:pt>
                <c:pt idx="10">
                  <c:v>164600</c:v>
                </c:pt>
                <c:pt idx="11">
                  <c:v>167500</c:v>
                </c:pt>
                <c:pt idx="12">
                  <c:v>476100</c:v>
                </c:pt>
                <c:pt idx="13">
                  <c:v>309300</c:v>
                </c:pt>
                <c:pt idx="14">
                  <c:v>273300</c:v>
                </c:pt>
                <c:pt idx="15">
                  <c:v>248700</c:v>
                </c:pt>
                <c:pt idx="16">
                  <c:v>222000</c:v>
                </c:pt>
                <c:pt idx="17">
                  <c:v>211500</c:v>
                </c:pt>
                <c:pt idx="18">
                  <c:v>191600</c:v>
                </c:pt>
                <c:pt idx="19">
                  <c:v>187600</c:v>
                </c:pt>
                <c:pt idx="20">
                  <c:v>140200</c:v>
                </c:pt>
                <c:pt idx="21">
                  <c:v>261100</c:v>
                </c:pt>
                <c:pt idx="22">
                  <c:v>213400</c:v>
                </c:pt>
                <c:pt idx="23">
                  <c:v>244400</c:v>
                </c:pt>
                <c:pt idx="24">
                  <c:v>261600</c:v>
                </c:pt>
                <c:pt idx="25">
                  <c:v>331100</c:v>
                </c:pt>
                <c:pt idx="26">
                  <c:v>325500</c:v>
                </c:pt>
                <c:pt idx="27">
                  <c:v>233000</c:v>
                </c:pt>
                <c:pt idx="28">
                  <c:v>191700</c:v>
                </c:pt>
                <c:pt idx="29">
                  <c:v>142300</c:v>
                </c:pt>
                <c:pt idx="30">
                  <c:v>205900</c:v>
                </c:pt>
                <c:pt idx="31">
                  <c:v>195600</c:v>
                </c:pt>
                <c:pt idx="32">
                  <c:v>183500</c:v>
                </c:pt>
                <c:pt idx="33">
                  <c:v>241700</c:v>
                </c:pt>
                <c:pt idx="34">
                  <c:v>236400</c:v>
                </c:pt>
                <c:pt idx="35">
                  <c:v>236400</c:v>
                </c:pt>
                <c:pt idx="36">
                  <c:v>323000</c:v>
                </c:pt>
                <c:pt idx="37">
                  <c:v>326200</c:v>
                </c:pt>
                <c:pt idx="38">
                  <c:v>329800</c:v>
                </c:pt>
                <c:pt idx="39">
                  <c:v>214900</c:v>
                </c:pt>
                <c:pt idx="40">
                  <c:v>221400</c:v>
                </c:pt>
                <c:pt idx="41">
                  <c:v>234800</c:v>
                </c:pt>
                <c:pt idx="42">
                  <c:v>162300</c:v>
                </c:pt>
                <c:pt idx="43">
                  <c:v>226400</c:v>
                </c:pt>
                <c:pt idx="44">
                  <c:v>196900</c:v>
                </c:pt>
                <c:pt idx="45">
                  <c:v>234500</c:v>
                </c:pt>
                <c:pt idx="46">
                  <c:v>230300</c:v>
                </c:pt>
                <c:pt idx="47">
                  <c:v>169200</c:v>
                </c:pt>
                <c:pt idx="48">
                  <c:v>363700</c:v>
                </c:pt>
                <c:pt idx="49">
                  <c:v>332700</c:v>
                </c:pt>
                <c:pt idx="50">
                  <c:v>384900</c:v>
                </c:pt>
                <c:pt idx="51">
                  <c:v>273500</c:v>
                </c:pt>
                <c:pt idx="52">
                  <c:v>284500</c:v>
                </c:pt>
                <c:pt idx="53">
                  <c:v>176100</c:v>
                </c:pt>
                <c:pt idx="54">
                  <c:v>172500</c:v>
                </c:pt>
                <c:pt idx="55">
                  <c:v>222700</c:v>
                </c:pt>
                <c:pt idx="56">
                  <c:v>224500</c:v>
                </c:pt>
                <c:pt idx="57">
                  <c:v>234500</c:v>
                </c:pt>
                <c:pt idx="58">
                  <c:v>230300</c:v>
                </c:pt>
                <c:pt idx="59">
                  <c:v>280800</c:v>
                </c:pt>
                <c:pt idx="60">
                  <c:v>293500</c:v>
                </c:pt>
                <c:pt idx="61">
                  <c:v>308700</c:v>
                </c:pt>
                <c:pt idx="62">
                  <c:v>301700</c:v>
                </c:pt>
                <c:pt idx="63">
                  <c:v>276000</c:v>
                </c:pt>
                <c:pt idx="64">
                  <c:v>222650</c:v>
                </c:pt>
                <c:pt idx="65">
                  <c:v>207650</c:v>
                </c:pt>
                <c:pt idx="66">
                  <c:v>187000</c:v>
                </c:pt>
                <c:pt idx="67">
                  <c:v>194400</c:v>
                </c:pt>
                <c:pt idx="68">
                  <c:v>205850</c:v>
                </c:pt>
                <c:pt idx="69">
                  <c:v>220450</c:v>
                </c:pt>
                <c:pt idx="70">
                  <c:v>193600</c:v>
                </c:pt>
                <c:pt idx="71">
                  <c:v>246600</c:v>
                </c:pt>
              </c:numCache>
            </c:numRef>
          </c:val>
          <c:smooth val="0"/>
        </c:ser>
        <c:marker val="1"/>
        <c:axId val="31298257"/>
        <c:axId val="13248858"/>
      </c:lineChart>
      <c:lineChart>
        <c:grouping val="standard"/>
        <c:varyColors val="0"/>
        <c:ser>
          <c:idx val="1"/>
          <c:order val="1"/>
          <c:tx>
            <c:v>Heating Water MMBTU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'HTHW Usage'!$E$8:$E$78</c:f>
              <c:numCache>
                <c:ptCount val="71"/>
                <c:pt idx="0">
                  <c:v>192</c:v>
                </c:pt>
                <c:pt idx="1">
                  <c:v>321</c:v>
                </c:pt>
                <c:pt idx="2">
                  <c:v>240</c:v>
                </c:pt>
                <c:pt idx="3">
                  <c:v>1111</c:v>
                </c:pt>
                <c:pt idx="4">
                  <c:v>1364.2000000000007</c:v>
                </c:pt>
                <c:pt idx="5">
                  <c:v>1998.199999999999</c:v>
                </c:pt>
                <c:pt idx="6">
                  <c:v>2106.460000000001</c:v>
                </c:pt>
                <c:pt idx="7">
                  <c:v>1881.7099999999991</c:v>
                </c:pt>
                <c:pt idx="8">
                  <c:v>1543.7299999999996</c:v>
                </c:pt>
                <c:pt idx="9">
                  <c:v>1401.9000000000015</c:v>
                </c:pt>
                <c:pt idx="10">
                  <c:v>802.5</c:v>
                </c:pt>
                <c:pt idx="11">
                  <c:v>739.7999999999993</c:v>
                </c:pt>
                <c:pt idx="12">
                  <c:v>875.5</c:v>
                </c:pt>
                <c:pt idx="13">
                  <c:v>896.5</c:v>
                </c:pt>
                <c:pt idx="14">
                  <c:v>667.2999999999993</c:v>
                </c:pt>
                <c:pt idx="15">
                  <c:v>953.4000000000015</c:v>
                </c:pt>
                <c:pt idx="16">
                  <c:v>1318.0999999999985</c:v>
                </c:pt>
                <c:pt idx="17">
                  <c:v>2145.4000000000015</c:v>
                </c:pt>
                <c:pt idx="18">
                  <c:v>2072.899999999998</c:v>
                </c:pt>
                <c:pt idx="19">
                  <c:v>1726.800000000003</c:v>
                </c:pt>
                <c:pt idx="20">
                  <c:v>1342.5</c:v>
                </c:pt>
                <c:pt idx="21">
                  <c:v>1330.2999999999956</c:v>
                </c:pt>
                <c:pt idx="22">
                  <c:v>1011.3000000000029</c:v>
                </c:pt>
                <c:pt idx="23">
                  <c:v>715.5</c:v>
                </c:pt>
                <c:pt idx="24">
                  <c:v>775.3000000000029</c:v>
                </c:pt>
                <c:pt idx="25">
                  <c:v>904.0999999999985</c:v>
                </c:pt>
                <c:pt idx="26">
                  <c:v>902.3199999999997</c:v>
                </c:pt>
                <c:pt idx="27">
                  <c:v>730.6800000000003</c:v>
                </c:pt>
                <c:pt idx="28">
                  <c:v>862.7999999999956</c:v>
                </c:pt>
                <c:pt idx="29">
                  <c:v>1103.800000000003</c:v>
                </c:pt>
                <c:pt idx="30">
                  <c:v>1699.300000000003</c:v>
                </c:pt>
                <c:pt idx="31">
                  <c:v>1375.5999999999985</c:v>
                </c:pt>
                <c:pt idx="32">
                  <c:v>1469.7999999999956</c:v>
                </c:pt>
                <c:pt idx="33">
                  <c:v>1349.4000000000015</c:v>
                </c:pt>
                <c:pt idx="34">
                  <c:v>898.3000000000029</c:v>
                </c:pt>
                <c:pt idx="35">
                  <c:v>747.1999999999971</c:v>
                </c:pt>
                <c:pt idx="36">
                  <c:v>775.4100000000035</c:v>
                </c:pt>
                <c:pt idx="37">
                  <c:v>697.4599999999991</c:v>
                </c:pt>
                <c:pt idx="38">
                  <c:v>743.9700000000012</c:v>
                </c:pt>
                <c:pt idx="39">
                  <c:v>591.3699999999953</c:v>
                </c:pt>
                <c:pt idx="40">
                  <c:v>1117.4000000000015</c:v>
                </c:pt>
                <c:pt idx="41">
                  <c:v>1550.4599999999991</c:v>
                </c:pt>
                <c:pt idx="42">
                  <c:v>1358.1300000000047</c:v>
                </c:pt>
                <c:pt idx="43">
                  <c:v>2140.8499999999985</c:v>
                </c:pt>
                <c:pt idx="44">
                  <c:v>1583.0400000000009</c:v>
                </c:pt>
                <c:pt idx="45">
                  <c:v>1463.8699999999953</c:v>
                </c:pt>
                <c:pt idx="46">
                  <c:v>919.3800000000047</c:v>
                </c:pt>
                <c:pt idx="47">
                  <c:v>742.5299999999988</c:v>
                </c:pt>
                <c:pt idx="48">
                  <c:v>977.8300000000017</c:v>
                </c:pt>
                <c:pt idx="49">
                  <c:v>814.8199999999997</c:v>
                </c:pt>
                <c:pt idx="50">
                  <c:v>962.0400000000009</c:v>
                </c:pt>
                <c:pt idx="51">
                  <c:v>709.2199999999939</c:v>
                </c:pt>
                <c:pt idx="52">
                  <c:v>1174.1299999999974</c:v>
                </c:pt>
                <c:pt idx="53">
                  <c:v>1188.820000000007</c:v>
                </c:pt>
                <c:pt idx="54">
                  <c:v>1396.0599999999977</c:v>
                </c:pt>
                <c:pt idx="55">
                  <c:v>1697.8099999999977</c:v>
                </c:pt>
                <c:pt idx="56">
                  <c:v>1550.0400000000081</c:v>
                </c:pt>
                <c:pt idx="57">
                  <c:v>1063.5599999999977</c:v>
                </c:pt>
                <c:pt idx="58">
                  <c:v>714.6900000000023</c:v>
                </c:pt>
                <c:pt idx="59">
                  <c:v>712.8600000000006</c:v>
                </c:pt>
                <c:pt idx="60">
                  <c:v>623.5699999999924</c:v>
                </c:pt>
                <c:pt idx="61">
                  <c:v>625.4600000000064</c:v>
                </c:pt>
                <c:pt idx="62">
                  <c:v>617.8699999999953</c:v>
                </c:pt>
                <c:pt idx="63">
                  <c:v>824.4799999999959</c:v>
                </c:pt>
                <c:pt idx="64">
                  <c:v>1152.4199999999983</c:v>
                </c:pt>
                <c:pt idx="65">
                  <c:v>1286.0400000000081</c:v>
                </c:pt>
                <c:pt idx="66">
                  <c:v>1751.3600000000006</c:v>
                </c:pt>
                <c:pt idx="67">
                  <c:v>1751.0099999999948</c:v>
                </c:pt>
                <c:pt idx="68">
                  <c:v>1430.7900000000081</c:v>
                </c:pt>
                <c:pt idx="69">
                  <c:v>1184.5</c:v>
                </c:pt>
                <c:pt idx="70">
                  <c:v>631.1299999999901</c:v>
                </c:pt>
              </c:numCache>
            </c:numRef>
          </c:val>
          <c:smooth val="0"/>
        </c:ser>
        <c:marker val="1"/>
        <c:axId val="52130859"/>
        <c:axId val="66524548"/>
      </c:lineChart>
      <c:dateAx>
        <c:axId val="31298257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8858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13248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Electricity (kWhrs)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298257"/>
        <c:crossesAt val="1"/>
        <c:crossBetween val="between"/>
        <c:dispUnits/>
      </c:valAx>
      <c:dateAx>
        <c:axId val="52130859"/>
        <c:scaling>
          <c:orientation val="minMax"/>
        </c:scaling>
        <c:axPos val="b"/>
        <c:delete val="1"/>
        <c:majorTickMark val="out"/>
        <c:minorTickMark val="none"/>
        <c:tickLblPos val="none"/>
        <c:crossAx val="66524548"/>
        <c:crosses val="autoZero"/>
        <c:auto val="0"/>
        <c:noMultiLvlLbl val="0"/>
      </c:dateAx>
      <c:valAx>
        <c:axId val="66524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Heating Water (MMBTU)   </a:t>
                </a:r>
              </a:p>
            </c:rich>
          </c:tx>
          <c:layout>
            <c:manualLayout>
              <c:xMode val="factor"/>
              <c:yMode val="factor"/>
              <c:x val="0.001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13085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75"/>
          <c:y val="0.1515"/>
          <c:w val="0.28275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" right="0.5" top="0.75" bottom="0.75" header="0.5" footer="0.5"/>
  <pageSetup fitToHeight="0" fitToWidth="0"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75" bottom="0.75" header="0.5" footer="0.5"/>
  <pageSetup fitToHeight="0" fitToWidth="0"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85725</xdr:rowOff>
    </xdr:from>
    <xdr:to>
      <xdr:col>7</xdr:col>
      <xdr:colOff>781050</xdr:colOff>
      <xdr:row>3</xdr:row>
      <xdr:rowOff>133350</xdr:rowOff>
    </xdr:to>
    <xdr:pic>
      <xdr:nvPicPr>
        <xdr:cNvPr id="1" name="CommandButton1" descr="Print Entire WorkBo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57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91275"/>
    <xdr:graphicFrame>
      <xdr:nvGraphicFramePr>
        <xdr:cNvPr id="1" name="Shape 1025"/>
        <xdr:cNvGraphicFramePr/>
      </xdr:nvGraphicFramePr>
      <xdr:xfrm>
        <a:off x="0" y="0"/>
        <a:ext cx="9134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391275"/>
    <xdr:graphicFrame>
      <xdr:nvGraphicFramePr>
        <xdr:cNvPr id="1" name="Shape 1025"/>
        <xdr:cNvGraphicFramePr/>
      </xdr:nvGraphicFramePr>
      <xdr:xfrm>
        <a:off x="0" y="0"/>
        <a:ext cx="91344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zoomScaleSheetLayoutView="100" zoomScalePageLayoutView="0" workbookViewId="0" topLeftCell="A88">
      <selection activeCell="C100" sqref="C100"/>
    </sheetView>
  </sheetViews>
  <sheetFormatPr defaultColWidth="9.140625" defaultRowHeight="12.75"/>
  <cols>
    <col min="1" max="1" width="3.8515625" style="0" customWidth="1"/>
    <col min="2" max="2" width="11.140625" style="0" customWidth="1"/>
    <col min="3" max="3" width="14.57421875" style="1" customWidth="1"/>
    <col min="4" max="6" width="14.57421875" style="0" customWidth="1"/>
    <col min="7" max="8" width="17.00390625" style="0" customWidth="1"/>
    <col min="9" max="9" width="24.57421875" style="0" customWidth="1"/>
    <col min="10" max="10" width="16.421875" style="0" customWidth="1"/>
    <col min="11" max="11" width="10.140625" style="0" customWidth="1"/>
    <col min="12" max="12" width="12.8515625" style="0" customWidth="1"/>
  </cols>
  <sheetData>
    <row r="1" ht="20.25">
      <c r="B1" s="11" t="s">
        <v>73</v>
      </c>
    </row>
    <row r="2" ht="20.25">
      <c r="B2" s="11" t="s">
        <v>33</v>
      </c>
    </row>
    <row r="3" ht="12.75">
      <c r="B3" s="70" t="s">
        <v>38</v>
      </c>
    </row>
    <row r="4" spans="2:8" ht="27" customHeight="1" thickBot="1">
      <c r="B4" s="17"/>
      <c r="H4" s="71">
        <v>0.89</v>
      </c>
    </row>
    <row r="5" spans="2:9" s="36" customFormat="1" ht="30.75" thickBot="1">
      <c r="B5" s="32"/>
      <c r="C5" s="33" t="s">
        <v>32</v>
      </c>
      <c r="D5" s="34" t="s">
        <v>29</v>
      </c>
      <c r="E5" s="33" t="s">
        <v>30</v>
      </c>
      <c r="F5" s="34" t="s">
        <v>58</v>
      </c>
      <c r="G5" s="33" t="s">
        <v>31</v>
      </c>
      <c r="H5" s="33" t="s">
        <v>75</v>
      </c>
      <c r="I5" s="35" t="s">
        <v>74</v>
      </c>
    </row>
    <row r="6" spans="2:10" s="37" customFormat="1" ht="15" customHeight="1" thickBot="1">
      <c r="B6" s="41">
        <v>37773</v>
      </c>
      <c r="C6" s="48">
        <f>'HTHW Usage'!G7</f>
        <v>0</v>
      </c>
      <c r="D6" s="39">
        <f>Electric!O6</f>
        <v>0</v>
      </c>
      <c r="E6" s="12">
        <f>'Nat Gas Usage'!H6</f>
        <v>0</v>
      </c>
      <c r="F6" s="39">
        <f>'Water Usage'!L7</f>
        <v>0</v>
      </c>
      <c r="G6" s="12">
        <f>SUM(C6:F6)</f>
        <v>0</v>
      </c>
      <c r="H6" s="147">
        <f>G6*0.6</f>
        <v>0</v>
      </c>
      <c r="I6" s="38">
        <f>SUM(H6:H6)</f>
        <v>0</v>
      </c>
      <c r="J6" s="19"/>
    </row>
    <row r="7" spans="2:11" s="5" customFormat="1" ht="15" customHeight="1">
      <c r="B7" s="119">
        <v>37803</v>
      </c>
      <c r="C7" s="109">
        <f>'HTHW Usage'!G8</f>
        <v>1995.84</v>
      </c>
      <c r="D7" s="109">
        <f>Electric!O7</f>
        <v>6798.96</v>
      </c>
      <c r="E7" s="109">
        <f>'Nat Gas Usage'!H7</f>
        <v>78.5258058252424</v>
      </c>
      <c r="F7" s="109">
        <f>'Water Usage'!L8</f>
        <v>1186.4973262032088</v>
      </c>
      <c r="G7" s="120">
        <f>SUM(C7:F7)</f>
        <v>10059.82313202845</v>
      </c>
      <c r="H7" s="121">
        <f>G7*$H$4</f>
        <v>8953.242587505321</v>
      </c>
      <c r="I7" s="144"/>
      <c r="K7" s="15"/>
    </row>
    <row r="8" spans="2:9" s="40" customFormat="1" ht="15" customHeight="1">
      <c r="B8" s="122">
        <v>37834</v>
      </c>
      <c r="C8" s="110">
        <f>'HTHW Usage'!G9</f>
        <v>3336.795</v>
      </c>
      <c r="D8" s="110">
        <f>Electric!O8</f>
        <v>9078.96</v>
      </c>
      <c r="E8" s="110">
        <f>'Nat Gas Usage'!H8</f>
        <v>90.25137864077702</v>
      </c>
      <c r="F8" s="110">
        <f>'Water Usage'!L9</f>
        <v>1186.4973262032088</v>
      </c>
      <c r="G8" s="123">
        <f>SUM(C8:F8)</f>
        <v>13692.503704843984</v>
      </c>
      <c r="H8" s="124">
        <f aca="true" t="shared" si="0" ref="H8:H18">G8*$H$4</f>
        <v>12186.328297311147</v>
      </c>
      <c r="I8" s="145"/>
    </row>
    <row r="9" spans="2:10" s="40" customFormat="1" ht="15" customHeight="1" thickBot="1">
      <c r="B9" s="122">
        <v>37865</v>
      </c>
      <c r="C9" s="39">
        <f>'HTHW Usage'!G10</f>
        <v>2494.7999999999997</v>
      </c>
      <c r="D9" s="39">
        <f>Electric!O9</f>
        <v>8938.36</v>
      </c>
      <c r="E9" s="39">
        <f>'Nat Gas Usage'!H9</f>
        <v>764.8271359223301</v>
      </c>
      <c r="F9" s="39">
        <f>'Water Usage'!L10</f>
        <v>1461.1543832113225</v>
      </c>
      <c r="G9" s="12">
        <f>SUM(C9:F9)</f>
        <v>13659.141519133653</v>
      </c>
      <c r="H9" s="125">
        <f t="shared" si="0"/>
        <v>12156.635952028952</v>
      </c>
      <c r="I9" s="146">
        <f>SUM(H7:H9)</f>
        <v>33296.20683684542</v>
      </c>
      <c r="J9" s="5"/>
    </row>
    <row r="10" spans="2:9" s="40" customFormat="1" ht="15" customHeight="1">
      <c r="B10" s="122">
        <v>37895</v>
      </c>
      <c r="C10" s="149">
        <f>'HTHW Usage'!G11</f>
        <v>11548.845</v>
      </c>
      <c r="D10" s="149">
        <f>Electric!O10</f>
        <v>15329.199999999999</v>
      </c>
      <c r="E10" s="149">
        <f>'Nat Gas Usage'!H10</f>
        <v>1347.552572815534</v>
      </c>
      <c r="F10" s="149">
        <f>'Water Usage'!L11</f>
        <v>2152.92689949921</v>
      </c>
      <c r="G10" s="150">
        <f aca="true" t="shared" si="1" ref="G10:G18">SUM(C10:F10)</f>
        <v>30378.52447231474</v>
      </c>
      <c r="H10" s="151">
        <f t="shared" si="0"/>
        <v>27036.88678036012</v>
      </c>
      <c r="I10" s="157"/>
    </row>
    <row r="11" spans="2:9" s="40" customFormat="1" ht="15" customHeight="1">
      <c r="B11" s="122">
        <v>37926</v>
      </c>
      <c r="C11" s="110">
        <f>'HTHW Usage'!G12</f>
        <v>14180.859000000008</v>
      </c>
      <c r="D11" s="110">
        <f>Electric!O11</f>
        <v>14356.4</v>
      </c>
      <c r="E11" s="110">
        <f>'Nat Gas Usage'!H11</f>
        <v>1213.419126213592</v>
      </c>
      <c r="F11" s="110">
        <f>'Water Usage'!L12</f>
        <v>1978.8341010032082</v>
      </c>
      <c r="G11" s="123">
        <f t="shared" si="1"/>
        <v>31729.51222721681</v>
      </c>
      <c r="H11" s="124">
        <f t="shared" si="0"/>
        <v>28239.26588222296</v>
      </c>
      <c r="I11" s="158"/>
    </row>
    <row r="12" spans="2:9" s="37" customFormat="1" ht="15" customHeight="1" thickBot="1">
      <c r="B12" s="122">
        <v>37956</v>
      </c>
      <c r="C12" s="102">
        <f>'HTHW Usage'!G13</f>
        <v>20771.288999999986</v>
      </c>
      <c r="D12" s="102">
        <f>Electric!O12</f>
        <v>16248.8</v>
      </c>
      <c r="E12" s="102">
        <f>'Nat Gas Usage'!H12</f>
        <v>1260.4990776699026</v>
      </c>
      <c r="F12" s="102">
        <f>'Water Usage'!L13</f>
        <v>2012.3387527892307</v>
      </c>
      <c r="G12" s="180">
        <f t="shared" si="1"/>
        <v>40292.926830459124</v>
      </c>
      <c r="H12" s="181">
        <f t="shared" si="0"/>
        <v>35860.70487910862</v>
      </c>
      <c r="I12" s="182">
        <f>SUM(H10:H12)</f>
        <v>91136.8575416917</v>
      </c>
    </row>
    <row r="13" spans="2:9" s="37" customFormat="1" ht="15" customHeight="1">
      <c r="B13" s="122">
        <v>37987</v>
      </c>
      <c r="C13" s="109">
        <f>'HTHW Usage'!G14</f>
        <v>21896.65170000001</v>
      </c>
      <c r="D13" s="109">
        <f>Electric!O13</f>
        <v>15238</v>
      </c>
      <c r="E13" s="109">
        <f>'Nat Gas Usage'!H13</f>
        <v>1516.3297572815532</v>
      </c>
      <c r="F13" s="109">
        <f>'Water Usage'!L14</f>
        <v>1663.7261357254447</v>
      </c>
      <c r="G13" s="120">
        <f t="shared" si="1"/>
        <v>40314.707593007006</v>
      </c>
      <c r="H13" s="121">
        <f t="shared" si="0"/>
        <v>35880.08975777624</v>
      </c>
      <c r="I13" s="183"/>
    </row>
    <row r="14" spans="2:9" s="37" customFormat="1" ht="15" customHeight="1">
      <c r="B14" s="122">
        <v>38018</v>
      </c>
      <c r="C14" s="110">
        <f>'HTHW Usage'!G15</f>
        <v>19560.37544999999</v>
      </c>
      <c r="D14" s="110">
        <f>Electric!O14</f>
        <v>14006.8</v>
      </c>
      <c r="E14" s="110">
        <f>'Nat Gas Usage'!H14</f>
        <v>1289.8130097087378</v>
      </c>
      <c r="F14" s="110">
        <f>'Water Usage'!L15</f>
        <v>2840.527758162758</v>
      </c>
      <c r="G14" s="123">
        <f t="shared" si="1"/>
        <v>37697.51621787148</v>
      </c>
      <c r="H14" s="124">
        <f t="shared" si="0"/>
        <v>33550.78943390562</v>
      </c>
      <c r="I14" s="184"/>
    </row>
    <row r="15" spans="2:10" s="40" customFormat="1" ht="15" customHeight="1" thickBot="1">
      <c r="B15" s="122">
        <v>38047</v>
      </c>
      <c r="C15" s="39">
        <f>'HTHW Usage'!G16</f>
        <v>16047.073349999995</v>
      </c>
      <c r="D15" s="39">
        <f>Electric!O15</f>
        <v>13847.199999999999</v>
      </c>
      <c r="E15" s="39">
        <f>'Nat Gas Usage'!H15</f>
        <v>1204.5361165048544</v>
      </c>
      <c r="F15" s="39">
        <f>'Water Usage'!L16</f>
        <v>1509.440499020591</v>
      </c>
      <c r="G15" s="12">
        <f t="shared" si="1"/>
        <v>32608.24996552544</v>
      </c>
      <c r="H15" s="125">
        <f t="shared" si="0"/>
        <v>29021.342469317642</v>
      </c>
      <c r="I15" s="146">
        <f>SUM(H13:H15)</f>
        <v>98452.2216609995</v>
      </c>
      <c r="J15" s="5"/>
    </row>
    <row r="16" spans="2:9" s="40" customFormat="1" ht="15" customHeight="1">
      <c r="B16" s="122">
        <v>38078</v>
      </c>
      <c r="C16" s="149">
        <f>'HTHW Usage'!G17</f>
        <v>14572.750500000015</v>
      </c>
      <c r="D16" s="149">
        <f>Electric!O16</f>
        <v>17487.6</v>
      </c>
      <c r="E16" s="149">
        <f>'Nat Gas Usage'!H16</f>
        <v>1374.2016019417474</v>
      </c>
      <c r="F16" s="149">
        <f>'Water Usage'!L17</f>
        <v>3127.7493315508023</v>
      </c>
      <c r="G16" s="150">
        <f t="shared" si="1"/>
        <v>36562.30143349257</v>
      </c>
      <c r="H16" s="151">
        <f t="shared" si="0"/>
        <v>32540.448275808387</v>
      </c>
      <c r="I16" s="157"/>
    </row>
    <row r="17" spans="2:9" s="37" customFormat="1" ht="15" customHeight="1">
      <c r="B17" s="122">
        <v>38108</v>
      </c>
      <c r="C17" s="110">
        <f>'HTHW Usage'!G18</f>
        <v>8341.9875</v>
      </c>
      <c r="D17" s="110">
        <f>Electric!O17</f>
        <v>12509.6</v>
      </c>
      <c r="E17" s="110">
        <f>'Nat Gas Usage'!H17</f>
        <v>780.8165533980582</v>
      </c>
      <c r="F17" s="110">
        <f>'Water Usage'!L18</f>
        <v>2463.643048128342</v>
      </c>
      <c r="G17" s="123">
        <f t="shared" si="1"/>
        <v>24096.0471015264</v>
      </c>
      <c r="H17" s="124">
        <f t="shared" si="0"/>
        <v>21445.481920358496</v>
      </c>
      <c r="I17" s="184"/>
    </row>
    <row r="18" spans="2:10" s="40" customFormat="1" ht="15" customHeight="1" thickBot="1">
      <c r="B18" s="229">
        <v>38139</v>
      </c>
      <c r="C18" s="102">
        <f>'HTHW Usage'!G19</f>
        <v>7690.220999999992</v>
      </c>
      <c r="D18" s="102">
        <f>Electric!O18</f>
        <v>12730</v>
      </c>
      <c r="E18" s="102">
        <f>'Nat Gas Usage'!H18</f>
        <v>824.3433009708738</v>
      </c>
      <c r="F18" s="102">
        <f>'Water Usage'!L19</f>
        <v>2523.442513368985</v>
      </c>
      <c r="G18" s="180">
        <f t="shared" si="1"/>
        <v>23768.00681433985</v>
      </c>
      <c r="H18" s="181">
        <f t="shared" si="0"/>
        <v>21153.526064762467</v>
      </c>
      <c r="I18" s="146">
        <f>SUM(H16:H18)</f>
        <v>75139.45626092935</v>
      </c>
      <c r="J18" s="146">
        <f>SUM(I7:I18)</f>
        <v>298024.74230046594</v>
      </c>
    </row>
    <row r="19" spans="2:9" s="40" customFormat="1" ht="15" customHeight="1">
      <c r="B19" s="119">
        <v>38189</v>
      </c>
      <c r="C19" s="109">
        <f>'HTHW Usage'!G20</f>
        <v>9796.02421875</v>
      </c>
      <c r="D19" s="109">
        <f>Electric!O19</f>
        <v>39516.3</v>
      </c>
      <c r="E19" s="109">
        <f>'Nat Gas Usage'!H19</f>
        <v>855.4859223300969</v>
      </c>
      <c r="F19" s="109">
        <f>'Water Usage'!L20</f>
        <v>2396.7245989304815</v>
      </c>
      <c r="G19" s="120">
        <f>SUM(C19:F19)</f>
        <v>52564.534740010575</v>
      </c>
      <c r="H19" s="121">
        <f>G19*$H$4</f>
        <v>46782.435918609415</v>
      </c>
      <c r="I19" s="157"/>
    </row>
    <row r="20" spans="2:9" s="37" customFormat="1" ht="15" customHeight="1">
      <c r="B20" s="122">
        <v>38200</v>
      </c>
      <c r="C20" s="110">
        <f>'HTHW Usage'!G21</f>
        <v>10030.99453125</v>
      </c>
      <c r="D20" s="110">
        <f>Electric!O20</f>
        <v>25671.9</v>
      </c>
      <c r="E20" s="110">
        <f>'Nat Gas Usage'!H20</f>
        <v>825.3033980582522</v>
      </c>
      <c r="F20" s="110">
        <f>'Water Usage'!L21</f>
        <v>3419.425969251338</v>
      </c>
      <c r="G20" s="123">
        <f>SUM(C20:F20)</f>
        <v>39947.62389855959</v>
      </c>
      <c r="H20" s="124">
        <f>G20*$H$4</f>
        <v>35553.38526971804</v>
      </c>
      <c r="I20" s="184"/>
    </row>
    <row r="21" spans="2:10" s="40" customFormat="1" ht="15" customHeight="1" thickBot="1">
      <c r="B21" s="229">
        <v>38231</v>
      </c>
      <c r="C21" s="39">
        <f>'HTHW Usage'!G22</f>
        <v>7466.461406249992</v>
      </c>
      <c r="D21" s="39">
        <f>Electric!O21</f>
        <v>22683.9</v>
      </c>
      <c r="E21" s="39">
        <f>'Nat Gas Usage'!H21</f>
        <v>1194.096116504854</v>
      </c>
      <c r="F21" s="39">
        <f>'Water Usage'!L22</f>
        <v>2617.4131016042775</v>
      </c>
      <c r="G21" s="12">
        <f aca="true" t="shared" si="2" ref="G21:G30">SUM(C21:F21)</f>
        <v>33961.87062435913</v>
      </c>
      <c r="H21" s="125">
        <f aca="true" t="shared" si="3" ref="H21:H30">G21*$H$4</f>
        <v>30226.064855679626</v>
      </c>
      <c r="I21" s="146">
        <f>SUM(H19:H21)</f>
        <v>112561.88604400707</v>
      </c>
      <c r="J21" s="5"/>
    </row>
    <row r="22" spans="2:9" s="40" customFormat="1" ht="15" customHeight="1">
      <c r="B22" s="236">
        <v>38261</v>
      </c>
      <c r="C22" s="149">
        <f>'HTHW Usage'!G23</f>
        <v>10667.652187500016</v>
      </c>
      <c r="D22" s="149">
        <f>Electric!O22</f>
        <v>20642.100000000002</v>
      </c>
      <c r="E22" s="149">
        <f>'Nat Gas Usage'!H22</f>
        <v>1909.0446601941746</v>
      </c>
      <c r="F22" s="149">
        <f>'Water Usage'!L23</f>
        <v>3410.942513368983</v>
      </c>
      <c r="G22" s="150">
        <f t="shared" si="2"/>
        <v>36629.73936106317</v>
      </c>
      <c r="H22" s="151">
        <f t="shared" si="3"/>
        <v>32600.468031346223</v>
      </c>
      <c r="I22" s="157"/>
    </row>
    <row r="23" spans="2:9" s="37" customFormat="1" ht="15" customHeight="1">
      <c r="B23" s="237">
        <v>38292</v>
      </c>
      <c r="C23" s="110">
        <f>'HTHW Usage'!G24</f>
        <v>14748.303281249984</v>
      </c>
      <c r="D23" s="110">
        <f>Electric!O23</f>
        <v>18426</v>
      </c>
      <c r="E23" s="110">
        <f>'Nat Gas Usage'!H23</f>
        <v>1497.807766990291</v>
      </c>
      <c r="F23" s="110">
        <f>'Water Usage'!L24</f>
        <v>2591.3101604278067</v>
      </c>
      <c r="G23" s="123">
        <f t="shared" si="2"/>
        <v>37263.421208668085</v>
      </c>
      <c r="H23" s="124">
        <f t="shared" si="3"/>
        <v>33164.444875714595</v>
      </c>
      <c r="I23" s="184"/>
    </row>
    <row r="24" spans="2:9" s="37" customFormat="1" ht="15" customHeight="1" thickBot="1">
      <c r="B24" s="238">
        <v>38322</v>
      </c>
      <c r="C24" s="39">
        <f>'HTHW Usage'!G25</f>
        <v>24005.014687500017</v>
      </c>
      <c r="D24" s="39">
        <f>Electric!O24</f>
        <v>18717.75</v>
      </c>
      <c r="E24" s="39">
        <f>'Nat Gas Usage'!H24</f>
        <v>1289.359708737864</v>
      </c>
      <c r="F24" s="39">
        <f>'Water Usage'!L25</f>
        <v>2261.463903743319</v>
      </c>
      <c r="G24" s="12">
        <f t="shared" si="2"/>
        <v>46273.5882999812</v>
      </c>
      <c r="H24" s="125">
        <f t="shared" si="3"/>
        <v>41183.49358698327</v>
      </c>
      <c r="I24" s="146">
        <f>SUM(H22:H24)</f>
        <v>106948.40649404409</v>
      </c>
    </row>
    <row r="25" spans="2:9" s="37" customFormat="1" ht="15" customHeight="1">
      <c r="B25" s="236">
        <v>38353</v>
      </c>
      <c r="C25" s="149">
        <f>'HTHW Usage'!G26</f>
        <v>23193.807656249977</v>
      </c>
      <c r="D25" s="149">
        <f>Electric!O25</f>
        <v>15902.800000000001</v>
      </c>
      <c r="E25" s="149">
        <f>'Nat Gas Usage'!H25</f>
        <v>1545.9111650485434</v>
      </c>
      <c r="F25" s="149">
        <f>'Water Usage'!L26</f>
        <v>2144.237967914438</v>
      </c>
      <c r="G25" s="150">
        <f t="shared" si="2"/>
        <v>42786.75678921296</v>
      </c>
      <c r="H25" s="151">
        <f t="shared" si="3"/>
        <v>38080.213542399535</v>
      </c>
      <c r="I25" s="183"/>
    </row>
    <row r="26" spans="2:9" s="37" customFormat="1" ht="15" customHeight="1">
      <c r="B26" s="237">
        <v>38384</v>
      </c>
      <c r="C26" s="110">
        <f>'HTHW Usage'!G27</f>
        <v>19321.273125000032</v>
      </c>
      <c r="D26" s="110">
        <f>Electric!O26</f>
        <v>15570.800000000001</v>
      </c>
      <c r="E26" s="110">
        <f>'Nat Gas Usage'!H26</f>
        <v>1557.2296116504851</v>
      </c>
      <c r="F26" s="110">
        <f>'Water Usage'!L27</f>
        <v>2262.8877005347586</v>
      </c>
      <c r="G26" s="123">
        <f t="shared" si="2"/>
        <v>38712.19043718528</v>
      </c>
      <c r="H26" s="124">
        <f t="shared" si="3"/>
        <v>34453.8494890949</v>
      </c>
      <c r="I26" s="184"/>
    </row>
    <row r="27" spans="2:9" s="37" customFormat="1" ht="15" customHeight="1" thickBot="1">
      <c r="B27" s="238">
        <v>38412</v>
      </c>
      <c r="C27" s="39">
        <f>'HTHW Usage'!G28</f>
        <v>15021.31640625</v>
      </c>
      <c r="D27" s="39">
        <f>Electric!O27</f>
        <v>11636.6</v>
      </c>
      <c r="E27" s="39">
        <f>'Nat Gas Usage'!H27</f>
        <v>1005.455339805825</v>
      </c>
      <c r="F27" s="39">
        <f>'Water Usage'!L28</f>
        <v>1584.6858288770038</v>
      </c>
      <c r="G27" s="12">
        <f t="shared" si="2"/>
        <v>29248.057574932827</v>
      </c>
      <c r="H27" s="125">
        <f t="shared" si="3"/>
        <v>26030.771241690218</v>
      </c>
      <c r="I27" s="146">
        <f>SUM(H25:H27)</f>
        <v>98564.83427318466</v>
      </c>
    </row>
    <row r="28" spans="2:9" s="37" customFormat="1" ht="15" customHeight="1">
      <c r="B28" s="239">
        <v>38443</v>
      </c>
      <c r="C28" s="149">
        <f>'HTHW Usage'!G29</f>
        <v>14884.809843749952</v>
      </c>
      <c r="D28" s="149">
        <f>Electric!O28</f>
        <v>21671.300000000003</v>
      </c>
      <c r="E28" s="149">
        <f>'Nat Gas Usage'!H28</f>
        <v>1561.9456310679607</v>
      </c>
      <c r="F28" s="149">
        <f>'Water Usage'!L29</f>
        <v>3137.5735294117685</v>
      </c>
      <c r="G28" s="150">
        <f t="shared" si="2"/>
        <v>41255.62900422968</v>
      </c>
      <c r="H28" s="151">
        <f t="shared" si="3"/>
        <v>36717.509813764416</v>
      </c>
      <c r="I28" s="183"/>
    </row>
    <row r="29" spans="2:9" s="37" customFormat="1" ht="15" customHeight="1">
      <c r="B29" s="122">
        <v>38473</v>
      </c>
      <c r="C29" s="110">
        <f>'HTHW Usage'!G30</f>
        <v>11315.498906250034</v>
      </c>
      <c r="D29" s="110">
        <f>Electric!O29</f>
        <v>17712.2</v>
      </c>
      <c r="E29" s="110">
        <f>'Nat Gas Usage'!H29</f>
        <v>812.0985436893202</v>
      </c>
      <c r="F29" s="110">
        <f>'Water Usage'!L30</f>
        <v>2567.1056149732617</v>
      </c>
      <c r="G29" s="123">
        <f t="shared" si="2"/>
        <v>32406.903064912618</v>
      </c>
      <c r="H29" s="124">
        <f t="shared" si="3"/>
        <v>28842.14372777223</v>
      </c>
      <c r="I29" s="184"/>
    </row>
    <row r="30" spans="2:10" s="37" customFormat="1" ht="15" customHeight="1" thickBot="1">
      <c r="B30" s="238">
        <v>38504</v>
      </c>
      <c r="C30" s="39">
        <f>'HTHW Usage'!G31</f>
        <v>8005.77421875</v>
      </c>
      <c r="D30" s="39">
        <f>Electric!O30</f>
        <v>20285.2</v>
      </c>
      <c r="E30" s="39">
        <f>'Nat Gas Usage'!H30</f>
        <v>812.0985436893202</v>
      </c>
      <c r="F30" s="39">
        <f>'Water Usage'!L31</f>
        <v>2671.0427807486617</v>
      </c>
      <c r="G30" s="12">
        <f t="shared" si="2"/>
        <v>31774.115543187985</v>
      </c>
      <c r="H30" s="125">
        <f t="shared" si="3"/>
        <v>28278.96283343731</v>
      </c>
      <c r="I30" s="146">
        <f>SUM(H28:H30)</f>
        <v>93838.61637497396</v>
      </c>
      <c r="J30" s="235">
        <f>SUM(I19:I30)</f>
        <v>411913.74318620976</v>
      </c>
    </row>
    <row r="31" spans="2:11" s="5" customFormat="1" ht="15" customHeight="1">
      <c r="B31" s="119">
        <v>38534</v>
      </c>
      <c r="C31" s="109">
        <f>'HTHW Usage'!G32</f>
        <v>9240.146540625032</v>
      </c>
      <c r="D31" s="109">
        <f>Electric!O31</f>
        <v>22236</v>
      </c>
      <c r="E31" s="109">
        <f>'Nat Gas Usage'!H31</f>
        <v>822.2361553398058</v>
      </c>
      <c r="F31" s="109">
        <f>'Water Usage'!L32</f>
        <v>3922.560160427804</v>
      </c>
      <c r="G31" s="120">
        <f>SUM(C31:F31)</f>
        <v>36220.94285639264</v>
      </c>
      <c r="H31" s="121">
        <f>G31*$H$4</f>
        <v>32236.63914218945</v>
      </c>
      <c r="I31" s="144"/>
      <c r="J31" s="392">
        <f>(J30-J18)/J18</f>
        <v>0.3821461265485197</v>
      </c>
      <c r="K31" s="15"/>
    </row>
    <row r="32" spans="2:9" s="40" customFormat="1" ht="15" customHeight="1">
      <c r="B32" s="122">
        <v>38565</v>
      </c>
      <c r="C32" s="110">
        <f>'HTHW Usage'!G33</f>
        <v>10775.20506562498</v>
      </c>
      <c r="D32" s="110">
        <f>Electric!O32</f>
        <v>28143.500000000004</v>
      </c>
      <c r="E32" s="110">
        <f>'Nat Gas Usage'!H32</f>
        <v>781.5215631067961</v>
      </c>
      <c r="F32" s="110">
        <f>'Water Usage'!L33</f>
        <v>4305.561497326204</v>
      </c>
      <c r="G32" s="123">
        <f>SUM(C32:F32)</f>
        <v>44005.78812605799</v>
      </c>
      <c r="H32" s="124">
        <f aca="true" t="shared" si="4" ref="H32:H95">G32*$H$4</f>
        <v>39165.15143219161</v>
      </c>
      <c r="I32" s="145"/>
    </row>
    <row r="33" spans="2:10" s="40" customFormat="1" ht="15" customHeight="1" thickBot="1">
      <c r="B33" s="229">
        <v>38596</v>
      </c>
      <c r="C33" s="39">
        <f>'HTHW Usage'!G34</f>
        <v>10753.990747499995</v>
      </c>
      <c r="D33" s="39">
        <f>Electric!O33</f>
        <v>27667.500000000004</v>
      </c>
      <c r="E33" s="39">
        <f>'Nat Gas Usage'!H33</f>
        <v>1135.0433883495148</v>
      </c>
      <c r="F33" s="39">
        <f>'Water Usage'!L34</f>
        <v>3626.030748663102</v>
      </c>
      <c r="G33" s="12">
        <f>SUM(C33:F33)</f>
        <v>43182.56488451261</v>
      </c>
      <c r="H33" s="125">
        <f t="shared" si="4"/>
        <v>38432.48274721623</v>
      </c>
      <c r="I33" s="146">
        <f>SUM(H31:H33)</f>
        <v>109834.2733215973</v>
      </c>
      <c r="J33" s="5"/>
    </row>
    <row r="34" spans="2:9" s="37" customFormat="1" ht="15" customHeight="1">
      <c r="B34" s="236">
        <v>38626</v>
      </c>
      <c r="C34" s="149">
        <f>'HTHW Usage'!G35</f>
        <v>8708.358408750002</v>
      </c>
      <c r="D34" s="149">
        <f>Electric!O34</f>
        <v>19805</v>
      </c>
      <c r="E34" s="149">
        <f>'Nat Gas Usage'!H34</f>
        <v>828.5916038834966</v>
      </c>
      <c r="F34" s="149">
        <f>'Water Usage'!L35</f>
        <v>2614.945187165779</v>
      </c>
      <c r="G34" s="150">
        <f aca="true" t="shared" si="5" ref="G34:G42">SUM(C34:F34)</f>
        <v>31956.895199799277</v>
      </c>
      <c r="H34" s="151">
        <f t="shared" si="4"/>
        <v>28441.63672782136</v>
      </c>
      <c r="I34" s="183"/>
    </row>
    <row r="35" spans="2:9" s="40" customFormat="1" ht="15" customHeight="1">
      <c r="B35" s="122">
        <v>38657</v>
      </c>
      <c r="C35" s="110">
        <f>'HTHW Usage'!G36</f>
        <v>10282.985212499945</v>
      </c>
      <c r="D35" s="110">
        <f>Electric!O35</f>
        <v>16294.500000000002</v>
      </c>
      <c r="E35" s="110">
        <f>'Nat Gas Usage'!H35</f>
        <v>1761.2536776699017</v>
      </c>
      <c r="F35" s="110">
        <f>'Water Usage'!L36</f>
        <v>1790.6617647058806</v>
      </c>
      <c r="G35" s="123">
        <f t="shared" si="5"/>
        <v>30129.400654875728</v>
      </c>
      <c r="H35" s="124">
        <f t="shared" si="4"/>
        <v>26815.1665828394</v>
      </c>
      <c r="I35" s="145"/>
    </row>
    <row r="36" spans="2:10" s="40" customFormat="1" ht="15" customHeight="1" thickBot="1">
      <c r="B36" s="229">
        <v>38687</v>
      </c>
      <c r="C36" s="39">
        <f>'HTHW Usage'!G37</f>
        <v>13155.260868750032</v>
      </c>
      <c r="D36" s="39">
        <f>Electric!O36</f>
        <v>12095.5</v>
      </c>
      <c r="E36" s="39">
        <f>'Nat Gas Usage'!H36</f>
        <v>1225.4099223300973</v>
      </c>
      <c r="F36" s="39">
        <f>'Water Usage'!L37</f>
        <v>1697.640374331551</v>
      </c>
      <c r="G36" s="12">
        <f t="shared" si="5"/>
        <v>28173.81116541168</v>
      </c>
      <c r="H36" s="125">
        <f t="shared" si="4"/>
        <v>25074.691937216397</v>
      </c>
      <c r="I36" s="146">
        <f>SUM(H34:H36)</f>
        <v>80331.49524787716</v>
      </c>
      <c r="J36" s="5"/>
    </row>
    <row r="37" spans="2:9" s="37" customFormat="1" ht="15" customHeight="1">
      <c r="B37" s="236">
        <v>38718</v>
      </c>
      <c r="C37" s="149">
        <f>'HTHW Usage'!G38</f>
        <v>20252.52291562503</v>
      </c>
      <c r="D37" s="149">
        <f>Electric!O37</f>
        <v>17501.5</v>
      </c>
      <c r="E37" s="149">
        <f>'Nat Gas Usage'!H37</f>
        <v>1460.760126213592</v>
      </c>
      <c r="F37" s="149">
        <f>'Water Usage'!L38</f>
        <v>1558.5828877005401</v>
      </c>
      <c r="G37" s="150">
        <f t="shared" si="5"/>
        <v>40773.36592953916</v>
      </c>
      <c r="H37" s="151">
        <f t="shared" si="4"/>
        <v>36288.295677289854</v>
      </c>
      <c r="I37" s="183"/>
    </row>
    <row r="38" spans="2:9" s="40" customFormat="1" ht="15" customHeight="1">
      <c r="B38" s="122">
        <v>38749</v>
      </c>
      <c r="C38" s="110">
        <f>'HTHW Usage'!G39</f>
        <v>16394.61573749998</v>
      </c>
      <c r="D38" s="110">
        <f>Electric!O38</f>
        <v>16626</v>
      </c>
      <c r="E38" s="110">
        <f>'Nat Gas Usage'!H38</f>
        <v>1882.8016310679614</v>
      </c>
      <c r="F38" s="110">
        <f>'Water Usage'!L39</f>
        <v>1783.5427807486615</v>
      </c>
      <c r="G38" s="123">
        <f t="shared" si="5"/>
        <v>36686.9601493166</v>
      </c>
      <c r="H38" s="124">
        <f t="shared" si="4"/>
        <v>32651.394532891773</v>
      </c>
      <c r="I38" s="145"/>
    </row>
    <row r="39" spans="2:10" s="40" customFormat="1" ht="15" customHeight="1" thickBot="1">
      <c r="B39" s="229">
        <v>38777</v>
      </c>
      <c r="C39" s="39">
        <f>'HTHW Usage'!G40</f>
        <v>17517.306056249945</v>
      </c>
      <c r="D39" s="39">
        <f>Electric!O39</f>
        <v>15597.500000000002</v>
      </c>
      <c r="E39" s="39">
        <f>'Nat Gas Usage'!H39</f>
        <v>1579.9247864077668</v>
      </c>
      <c r="F39" s="39">
        <f>'Water Usage'!L40</f>
        <v>1363.997326203207</v>
      </c>
      <c r="G39" s="12">
        <f t="shared" si="5"/>
        <v>36058.72816886092</v>
      </c>
      <c r="H39" s="125">
        <f t="shared" si="4"/>
        <v>32092.26807028622</v>
      </c>
      <c r="I39" s="146">
        <f>SUM(H37:H39)</f>
        <v>101031.95828046784</v>
      </c>
      <c r="J39" s="5"/>
    </row>
    <row r="40" spans="2:9" s="37" customFormat="1" ht="15" customHeight="1">
      <c r="B40" s="236">
        <v>38808</v>
      </c>
      <c r="C40" s="149">
        <f>'HTHW Usage'!G41</f>
        <v>16082.360043750014</v>
      </c>
      <c r="D40" s="149">
        <f>Electric!O40</f>
        <v>20544.5</v>
      </c>
      <c r="E40" s="149">
        <f>'Nat Gas Usage'!H40</f>
        <v>1858.9686990291264</v>
      </c>
      <c r="F40" s="149">
        <f>'Water Usage'!L41</f>
        <v>2103.897058823533</v>
      </c>
      <c r="G40" s="150">
        <f t="shared" si="5"/>
        <v>40589.72580160267</v>
      </c>
      <c r="H40" s="151">
        <f t="shared" si="4"/>
        <v>36124.85596342637</v>
      </c>
      <c r="I40" s="183"/>
    </row>
    <row r="41" spans="2:9" s="40" customFormat="1" ht="15" customHeight="1">
      <c r="B41" s="122">
        <v>38838</v>
      </c>
      <c r="C41" s="110">
        <f>'HTHW Usage'!G42</f>
        <v>10706.079759375032</v>
      </c>
      <c r="D41" s="110">
        <f>Electric!O41</f>
        <v>20094</v>
      </c>
      <c r="E41" s="110">
        <f>'Nat Gas Usage'!H41</f>
        <v>1069.5028252427185</v>
      </c>
      <c r="F41" s="110">
        <f>'Water Usage'!L42</f>
        <v>2573.749999999995</v>
      </c>
      <c r="G41" s="123">
        <f t="shared" si="5"/>
        <v>34443.33258461775</v>
      </c>
      <c r="H41" s="124">
        <f t="shared" si="4"/>
        <v>30654.566000309795</v>
      </c>
      <c r="I41" s="145"/>
    </row>
    <row r="42" spans="2:10" s="37" customFormat="1" ht="15" customHeight="1" thickBot="1">
      <c r="B42" s="238">
        <v>38869</v>
      </c>
      <c r="C42" s="39">
        <f>'HTHW Usage'!G43</f>
        <v>8905.246349999963</v>
      </c>
      <c r="D42" s="39">
        <f>Electric!O42</f>
        <v>20094</v>
      </c>
      <c r="E42" s="39">
        <f>'Nat Gas Usage'!H42</f>
        <v>562.0599805825242</v>
      </c>
      <c r="F42" s="39">
        <f>'Water Usage'!L43</f>
        <v>2203.0882352941176</v>
      </c>
      <c r="G42" s="12">
        <f t="shared" si="5"/>
        <v>31764.39456587661</v>
      </c>
      <c r="H42" s="125">
        <f t="shared" si="4"/>
        <v>28270.311163630184</v>
      </c>
      <c r="I42" s="182">
        <f>SUM(H40:H42)</f>
        <v>95049.73312736634</v>
      </c>
      <c r="J42" s="235">
        <f>SUM(I31:I42)</f>
        <v>386247.45997730864</v>
      </c>
    </row>
    <row r="43" spans="2:11" s="5" customFormat="1" ht="15" customHeight="1">
      <c r="B43" s="236">
        <v>38899</v>
      </c>
      <c r="C43" s="149">
        <f>'HTHW Usage'!G44</f>
        <v>12622.342064062555</v>
      </c>
      <c r="D43" s="149">
        <f>Electric!O43</f>
        <v>28101.000000000004</v>
      </c>
      <c r="E43" s="149">
        <f>'Nat Gas Usage'!H43</f>
        <v>1147.6806873786422</v>
      </c>
      <c r="F43" s="149">
        <f>'Water Usage'!L44</f>
        <v>2963.6804812834234</v>
      </c>
      <c r="G43" s="150">
        <f aca="true" t="shared" si="6" ref="G43:G54">SUM(C43:F43)</f>
        <v>44834.70323272462</v>
      </c>
      <c r="H43" s="151">
        <f t="shared" si="4"/>
        <v>39902.885877124914</v>
      </c>
      <c r="I43" s="314"/>
      <c r="J43" s="392">
        <f>(J42-J30)/J30</f>
        <v>-0.0623098491698016</v>
      </c>
      <c r="K43" s="15"/>
    </row>
    <row r="44" spans="2:9" s="40" customFormat="1" ht="15" customHeight="1">
      <c r="B44" s="122">
        <v>38930</v>
      </c>
      <c r="C44" s="110">
        <f>'HTHW Usage'!G45</f>
        <v>11353.450040624984</v>
      </c>
      <c r="D44" s="110">
        <f>Electric!O44</f>
        <v>28379.4</v>
      </c>
      <c r="E44" s="110">
        <f>'Nat Gas Usage'!H44</f>
        <v>1003.6049708737798</v>
      </c>
      <c r="F44" s="110">
        <f>'Water Usage'!L45</f>
        <v>2906.1590909090937</v>
      </c>
      <c r="G44" s="123">
        <f t="shared" si="6"/>
        <v>43642.61410240786</v>
      </c>
      <c r="H44" s="124">
        <f t="shared" si="4"/>
        <v>38841.926551143</v>
      </c>
      <c r="I44" s="315"/>
    </row>
    <row r="45" spans="2:10" s="40" customFormat="1" ht="15" customHeight="1" thickBot="1">
      <c r="B45" s="238">
        <v>38961</v>
      </c>
      <c r="C45" s="39">
        <f>'HTHW Usage'!G46</f>
        <v>12110.552901562518</v>
      </c>
      <c r="D45" s="39">
        <f>Electric!O45</f>
        <v>28692.600000000002</v>
      </c>
      <c r="E45" s="39">
        <f>'Nat Gas Usage'!H45</f>
        <v>2076.4075456310725</v>
      </c>
      <c r="F45" s="39">
        <f>'Water Usage'!L46</f>
        <v>4105.280748663098</v>
      </c>
      <c r="G45" s="12">
        <f t="shared" si="6"/>
        <v>46984.841195856694</v>
      </c>
      <c r="H45" s="125">
        <f t="shared" si="4"/>
        <v>41816.50866431246</v>
      </c>
      <c r="I45" s="316">
        <f>SUM(H43:H45)</f>
        <v>120561.32109258036</v>
      </c>
      <c r="J45" s="5"/>
    </row>
    <row r="46" spans="2:9" s="37" customFormat="1" ht="15" customHeight="1">
      <c r="B46" s="236">
        <v>38991</v>
      </c>
      <c r="C46" s="149">
        <f>'HTHW Usage'!G47</f>
        <v>9626.487182812423</v>
      </c>
      <c r="D46" s="149">
        <f>Electric!O46</f>
        <v>18696.300000000003</v>
      </c>
      <c r="E46" s="149">
        <f>'Nat Gas Usage'!H46</f>
        <v>3186.024466019417</v>
      </c>
      <c r="F46" s="149">
        <f>'Water Usage'!L47</f>
        <v>3090.1136363636383</v>
      </c>
      <c r="G46" s="150">
        <f t="shared" si="6"/>
        <v>34598.92528519548</v>
      </c>
      <c r="H46" s="151">
        <f t="shared" si="4"/>
        <v>30793.043503823978</v>
      </c>
      <c r="I46" s="317"/>
    </row>
    <row r="47" spans="2:9" s="37" customFormat="1" ht="15" customHeight="1">
      <c r="B47" s="122">
        <v>39022</v>
      </c>
      <c r="C47" s="110">
        <f>'HTHW Usage'!G48</f>
        <v>18189.35146875002</v>
      </c>
      <c r="D47" s="110">
        <f>Electric!O47</f>
        <v>19261.800000000003</v>
      </c>
      <c r="E47" s="110">
        <f>'Nat Gas Usage'!H47</f>
        <v>3077.0633009708736</v>
      </c>
      <c r="F47" s="110">
        <f>'Water Usage'!L48</f>
        <v>2533.9311497326216</v>
      </c>
      <c r="G47" s="123">
        <f t="shared" si="6"/>
        <v>43062.14591945352</v>
      </c>
      <c r="H47" s="124">
        <f t="shared" si="4"/>
        <v>38325.309868313634</v>
      </c>
      <c r="I47" s="315"/>
    </row>
    <row r="48" spans="2:9" s="37" customFormat="1" ht="15" customHeight="1" thickBot="1">
      <c r="B48" s="238">
        <v>39052</v>
      </c>
      <c r="C48" s="39">
        <f>'HTHW Usage'!G49</f>
        <v>25238.823946874985</v>
      </c>
      <c r="D48" s="39">
        <f>Electric!O48</f>
        <v>20427.600000000002</v>
      </c>
      <c r="E48" s="39">
        <f>'Nat Gas Usage'!H48</f>
        <v>3386.5130097087376</v>
      </c>
      <c r="F48" s="39">
        <f>'Water Usage'!L49</f>
        <v>2121.93181818182</v>
      </c>
      <c r="G48" s="12">
        <f t="shared" si="6"/>
        <v>51174.86877476555</v>
      </c>
      <c r="H48" s="125">
        <f t="shared" si="4"/>
        <v>45545.63320954134</v>
      </c>
      <c r="I48" s="316">
        <f>SUM(H46:H48)</f>
        <v>114663.98658167895</v>
      </c>
    </row>
    <row r="49" spans="2:9" s="37" customFormat="1" ht="15" customHeight="1">
      <c r="B49" s="236">
        <v>39083</v>
      </c>
      <c r="C49" s="149">
        <f>'HTHW Usage'!G50</f>
        <v>22108.022114062576</v>
      </c>
      <c r="D49" s="149">
        <f>Electric!O49</f>
        <v>14120.100000000002</v>
      </c>
      <c r="E49" s="149">
        <f>'Nat Gas Usage'!H49</f>
        <v>1836.3588349514562</v>
      </c>
      <c r="F49" s="149">
        <f>'Water Usage'!L50</f>
        <v>1426.929144385028</v>
      </c>
      <c r="G49" s="150">
        <f t="shared" si="6"/>
        <v>39491.41009339906</v>
      </c>
      <c r="H49" s="151">
        <f t="shared" si="4"/>
        <v>35147.354983125166</v>
      </c>
      <c r="I49" s="317"/>
    </row>
    <row r="50" spans="2:9" s="37" customFormat="1" ht="15" customHeight="1">
      <c r="B50" s="122">
        <v>39114</v>
      </c>
      <c r="C50" s="110">
        <f>'HTHW Usage'!G51</f>
        <v>34849.35841406247</v>
      </c>
      <c r="D50" s="110">
        <f>Electric!O50</f>
        <v>19696.800000000003</v>
      </c>
      <c r="E50" s="110">
        <f>'Nat Gas Usage'!H50</f>
        <v>3616.0578640776694</v>
      </c>
      <c r="F50" s="110">
        <f>'Water Usage'!L51</f>
        <v>1998.7259358288743</v>
      </c>
      <c r="G50" s="123">
        <f t="shared" si="6"/>
        <v>60160.942213969014</v>
      </c>
      <c r="H50" s="124">
        <f t="shared" si="4"/>
        <v>53543.238570432426</v>
      </c>
      <c r="I50" s="315"/>
    </row>
    <row r="51" spans="2:9" s="37" customFormat="1" ht="15" customHeight="1" thickBot="1">
      <c r="B51" s="238">
        <v>39142</v>
      </c>
      <c r="C51" s="39">
        <f>'HTHW Usage'!G52</f>
        <v>25769.17035000001</v>
      </c>
      <c r="D51" s="39">
        <f>Electric!O51</f>
        <v>17130.300000000003</v>
      </c>
      <c r="E51" s="39">
        <f>'Nat Gas Usage'!H51</f>
        <v>4516.803495145631</v>
      </c>
      <c r="F51" s="39">
        <f>'Water Usage'!L52</f>
        <v>1872.1504010695173</v>
      </c>
      <c r="G51" s="12">
        <f t="shared" si="6"/>
        <v>49288.42424621517</v>
      </c>
      <c r="H51" s="125">
        <f t="shared" si="4"/>
        <v>43866.6975791315</v>
      </c>
      <c r="I51" s="316">
        <f>SUM(H49:H51)</f>
        <v>132557.29113268908</v>
      </c>
    </row>
    <row r="52" spans="2:9" s="37" customFormat="1" ht="15" customHeight="1">
      <c r="B52" s="236">
        <v>39173</v>
      </c>
      <c r="C52" s="149">
        <f>'HTHW Usage'!G53</f>
        <v>23829.287573437425</v>
      </c>
      <c r="D52" s="149">
        <f>Electric!O52</f>
        <v>20401.500000000004</v>
      </c>
      <c r="E52" s="149">
        <f>'Nat Gas Usage'!H52</f>
        <v>2940.4986407766987</v>
      </c>
      <c r="F52" s="149">
        <f>'Water Usage'!L53</f>
        <v>2105.937834224595</v>
      </c>
      <c r="G52" s="150">
        <f t="shared" si="6"/>
        <v>49277.22404843872</v>
      </c>
      <c r="H52" s="151">
        <f t="shared" si="4"/>
        <v>43856.72940311046</v>
      </c>
      <c r="I52" s="317"/>
    </row>
    <row r="53" spans="2:9" s="37" customFormat="1" ht="15" customHeight="1">
      <c r="B53" s="122">
        <v>39203</v>
      </c>
      <c r="C53" s="110">
        <f>'HTHW Usage'!G54</f>
        <v>14965.926215625075</v>
      </c>
      <c r="D53" s="110">
        <f>Electric!O53</f>
        <v>20036.100000000002</v>
      </c>
      <c r="E53" s="110">
        <f>'Nat Gas Usage'!H53</f>
        <v>562.2396116504854</v>
      </c>
      <c r="F53" s="110">
        <f>'Water Usage'!L54</f>
        <v>2363.407754010693</v>
      </c>
      <c r="G53" s="123">
        <f t="shared" si="6"/>
        <v>37927.67358128625</v>
      </c>
      <c r="H53" s="124">
        <f t="shared" si="4"/>
        <v>33755.62948734477</v>
      </c>
      <c r="I53" s="315"/>
    </row>
    <row r="54" spans="2:10" s="37" customFormat="1" ht="15" customHeight="1" thickBot="1">
      <c r="B54" s="238">
        <v>39234</v>
      </c>
      <c r="C54" s="39">
        <f>'HTHW Usage'!G55</f>
        <v>12087.112176562481</v>
      </c>
      <c r="D54" s="39">
        <f>Electric!O54</f>
        <v>14720.400000000001</v>
      </c>
      <c r="E54" s="39">
        <f>'Nat Gas Usage'!H54</f>
        <v>1051.8384466019418</v>
      </c>
      <c r="F54" s="39">
        <f>'Water Usage'!L55</f>
        <v>2220.1263368983964</v>
      </c>
      <c r="G54" s="12">
        <f t="shared" si="6"/>
        <v>30079.47696006282</v>
      </c>
      <c r="H54" s="125">
        <f t="shared" si="4"/>
        <v>26770.73449445591</v>
      </c>
      <c r="I54" s="318">
        <f>SUM(H52:H54)</f>
        <v>104383.09338491115</v>
      </c>
      <c r="J54" s="235">
        <f>SUM(I43:I54)</f>
        <v>472165.69219185953</v>
      </c>
    </row>
    <row r="55" spans="2:11" s="5" customFormat="1" ht="15" customHeight="1">
      <c r="B55" s="236">
        <v>39264</v>
      </c>
      <c r="C55" s="149">
        <f>'HTHW Usage'!G56</f>
        <v>17893.83064218753</v>
      </c>
      <c r="D55" s="149">
        <f>Electric!O55</f>
        <v>32733</v>
      </c>
      <c r="E55" s="149">
        <f>'Nat Gas Usage'!H55</f>
        <v>1499.3619417475725</v>
      </c>
      <c r="F55" s="149">
        <f>'Water Usage'!L56</f>
        <v>4100.667914438505</v>
      </c>
      <c r="G55" s="150">
        <f aca="true" t="shared" si="7" ref="G55:G66">SUM(C55:F55)</f>
        <v>56226.86049837361</v>
      </c>
      <c r="H55" s="151">
        <f t="shared" si="4"/>
        <v>50041.905843552515</v>
      </c>
      <c r="I55" s="314"/>
      <c r="J55" s="392">
        <f>(J54-J42)/J42</f>
        <v>0.22244348796390387</v>
      </c>
      <c r="K55" s="15"/>
    </row>
    <row r="56" spans="2:9" s="40" customFormat="1" ht="15" customHeight="1">
      <c r="B56" s="122">
        <v>39295</v>
      </c>
      <c r="C56" s="110">
        <f>'HTHW Usage'!G57</f>
        <v>14910.824053124996</v>
      </c>
      <c r="D56" s="110">
        <f>Electric!O56</f>
        <v>29943</v>
      </c>
      <c r="E56" s="110">
        <f>'Nat Gas Usage'!H56</f>
        <v>1322.20854368932</v>
      </c>
      <c r="F56" s="110">
        <f>'Water Usage'!L57</f>
        <v>3279.8101604278036</v>
      </c>
      <c r="G56" s="123">
        <f t="shared" si="7"/>
        <v>49455.84275724212</v>
      </c>
      <c r="H56" s="124">
        <f t="shared" si="4"/>
        <v>44015.70005394549</v>
      </c>
      <c r="I56" s="315"/>
    </row>
    <row r="57" spans="2:10" s="40" customFormat="1" ht="15" customHeight="1" thickBot="1">
      <c r="B57" s="238">
        <v>39326</v>
      </c>
      <c r="C57" s="39">
        <f>'HTHW Usage'!G58</f>
        <v>17604.881043750018</v>
      </c>
      <c r="D57" s="39">
        <f>Electric!O57</f>
        <v>34641</v>
      </c>
      <c r="E57" s="39">
        <f>'Nat Gas Usage'!H57</f>
        <v>2085.5786407766986</v>
      </c>
      <c r="F57" s="39">
        <f>'Water Usage'!L58</f>
        <v>3762.5582887700634</v>
      </c>
      <c r="G57" s="12">
        <f t="shared" si="7"/>
        <v>58094.01797329679</v>
      </c>
      <c r="H57" s="125">
        <f t="shared" si="4"/>
        <v>51703.675996234146</v>
      </c>
      <c r="I57" s="316">
        <f>SUM(H55:H57)</f>
        <v>145761.28189373214</v>
      </c>
      <c r="J57" s="5"/>
    </row>
    <row r="58" spans="2:9" s="37" customFormat="1" ht="15" customHeight="1">
      <c r="B58" s="236">
        <v>39356</v>
      </c>
      <c r="C58" s="149">
        <f>'HTHW Usage'!G59</f>
        <v>12978.393553124888</v>
      </c>
      <c r="D58" s="149">
        <f>Electric!O58</f>
        <v>24615</v>
      </c>
      <c r="E58" s="149">
        <f>'Nat Gas Usage'!H58</f>
        <v>1992.1704854368927</v>
      </c>
      <c r="F58" s="149">
        <f>'Water Usage'!L59</f>
        <v>2750.333422459887</v>
      </c>
      <c r="G58" s="150">
        <f t="shared" si="7"/>
        <v>42335.89746102167</v>
      </c>
      <c r="H58" s="151">
        <f t="shared" si="4"/>
        <v>37678.948740309286</v>
      </c>
      <c r="I58" s="317"/>
    </row>
    <row r="59" spans="2:11" s="37" customFormat="1" ht="15" customHeight="1">
      <c r="B59" s="122">
        <v>39387</v>
      </c>
      <c r="C59" s="110">
        <f>'HTHW Usage'!G60</f>
        <v>21486.028626562453</v>
      </c>
      <c r="D59" s="110">
        <f>Electric!O59</f>
        <v>25605</v>
      </c>
      <c r="E59" s="110">
        <f>'Nat Gas Usage'!H59</f>
        <v>3589.7720388349503</v>
      </c>
      <c r="F59" s="110">
        <f>'Water Usage'!L60</f>
        <v>2779.6917112299548</v>
      </c>
      <c r="G59" s="123">
        <f t="shared" si="7"/>
        <v>53460.49237662736</v>
      </c>
      <c r="H59" s="124">
        <f t="shared" si="4"/>
        <v>47579.838215198346</v>
      </c>
      <c r="I59" s="315"/>
      <c r="J59" s="40"/>
      <c r="K59" s="40"/>
    </row>
    <row r="60" spans="2:11" s="37" customFormat="1" ht="15" customHeight="1" thickBot="1">
      <c r="B60" s="238">
        <v>39417</v>
      </c>
      <c r="C60" s="39">
        <f>'HTHW Usage'!G61</f>
        <v>21754.84874062513</v>
      </c>
      <c r="D60" s="39">
        <f>Electric!O60</f>
        <v>15849</v>
      </c>
      <c r="E60" s="39">
        <f>'Nat Gas Usage'!H60</f>
        <v>3238.6862135922324</v>
      </c>
      <c r="F60" s="39">
        <f>'Water Usage'!L61</f>
        <v>2187.68181818182</v>
      </c>
      <c r="G60" s="12">
        <f t="shared" si="7"/>
        <v>43030.21677239919</v>
      </c>
      <c r="H60" s="125">
        <f t="shared" si="4"/>
        <v>38296.89292743528</v>
      </c>
      <c r="I60" s="316">
        <f>SUM(H58:H60)</f>
        <v>123555.6798829429</v>
      </c>
      <c r="J60" s="5"/>
      <c r="K60" s="40"/>
    </row>
    <row r="61" spans="2:9" s="37" customFormat="1" ht="15" customHeight="1">
      <c r="B61" s="236">
        <v>39448</v>
      </c>
      <c r="C61" s="149">
        <f>'HTHW Usage'!G62</f>
        <v>25547.24359687496</v>
      </c>
      <c r="D61" s="149">
        <f>Electric!O61</f>
        <v>15525</v>
      </c>
      <c r="E61" s="149">
        <f>'Nat Gas Usage'!H61</f>
        <v>2045.3165048543683</v>
      </c>
      <c r="F61" s="149">
        <f>'Water Usage'!L62</f>
        <v>980.6157754010475</v>
      </c>
      <c r="G61" s="150">
        <f t="shared" si="7"/>
        <v>44098.17587713038</v>
      </c>
      <c r="H61" s="151">
        <f t="shared" si="4"/>
        <v>39247.37653064604</v>
      </c>
      <c r="I61" s="317"/>
    </row>
    <row r="62" spans="2:11" s="37" customFormat="1" ht="15" customHeight="1">
      <c r="B62" s="122">
        <v>39479</v>
      </c>
      <c r="C62" s="110">
        <f>'HTHW Usage'!G63</f>
        <v>31069.127151562458</v>
      </c>
      <c r="D62" s="110">
        <f>Electric!O62</f>
        <v>20043</v>
      </c>
      <c r="E62" s="110">
        <f>'Nat Gas Usage'!H62</f>
        <v>3261.233009708737</v>
      </c>
      <c r="F62" s="110">
        <f>'Water Usage'!L63</f>
        <v>2154.947326203222</v>
      </c>
      <c r="G62" s="123">
        <f t="shared" si="7"/>
        <v>56528.30748747441</v>
      </c>
      <c r="H62" s="124">
        <f t="shared" si="4"/>
        <v>50310.19366385223</v>
      </c>
      <c r="I62" s="315"/>
      <c r="J62" s="40"/>
      <c r="K62" s="40"/>
    </row>
    <row r="63" spans="2:11" s="37" customFormat="1" ht="15" customHeight="1" thickBot="1">
      <c r="B63" s="238">
        <v>39508</v>
      </c>
      <c r="C63" s="39">
        <f>'HTHW Usage'!G64</f>
        <v>28365.005418750152</v>
      </c>
      <c r="D63" s="39">
        <f>Electric!O63</f>
        <v>20205</v>
      </c>
      <c r="E63" s="39">
        <f>'Nat Gas Usage'!H63</f>
        <v>5209.920388349513</v>
      </c>
      <c r="F63" s="39">
        <f>'Water Usage'!L64</f>
        <v>2219.927005347587</v>
      </c>
      <c r="G63" s="12">
        <f t="shared" si="7"/>
        <v>55999.85281244725</v>
      </c>
      <c r="H63" s="125">
        <f t="shared" si="4"/>
        <v>49839.869003078056</v>
      </c>
      <c r="I63" s="316">
        <f>SUM(H61:H63)</f>
        <v>139397.4391975763</v>
      </c>
      <c r="J63" s="5"/>
      <c r="K63" s="40"/>
    </row>
    <row r="64" spans="2:9" s="37" customFormat="1" ht="15" customHeight="1">
      <c r="B64" s="236">
        <v>39539</v>
      </c>
      <c r="C64" s="149">
        <f>'HTHW Usage'!G65</f>
        <v>19462.649456249957</v>
      </c>
      <c r="D64" s="149">
        <f>Electric!O64</f>
        <v>21105</v>
      </c>
      <c r="E64" s="149">
        <f>'Nat Gas Usage'!H64</f>
        <v>3457.7122330097077</v>
      </c>
      <c r="F64" s="149">
        <f>'Water Usage'!L65</f>
        <v>2274.288770053469</v>
      </c>
      <c r="G64" s="150">
        <f t="shared" si="7"/>
        <v>46299.65045931313</v>
      </c>
      <c r="H64" s="151">
        <f t="shared" si="4"/>
        <v>41206.68890878869</v>
      </c>
      <c r="I64" s="317"/>
    </row>
    <row r="65" spans="2:11" s="37" customFormat="1" ht="15" customHeight="1">
      <c r="B65" s="122">
        <v>39569</v>
      </c>
      <c r="C65" s="110">
        <f>'HTHW Usage'!G66</f>
        <v>13078.491989062544</v>
      </c>
      <c r="D65" s="110">
        <f>Electric!O65</f>
        <v>20727</v>
      </c>
      <c r="E65" s="110">
        <f>'Nat Gas Usage'!H65</f>
        <v>2021.1592233009703</v>
      </c>
      <c r="F65" s="110">
        <f>'Water Usage'!L66</f>
        <v>2310.6930481283534</v>
      </c>
      <c r="G65" s="123">
        <f t="shared" si="7"/>
        <v>38137.344260491875</v>
      </c>
      <c r="H65" s="124">
        <f t="shared" si="4"/>
        <v>33942.23639183777</v>
      </c>
      <c r="I65" s="315"/>
      <c r="J65" s="40"/>
      <c r="K65" s="40"/>
    </row>
    <row r="66" spans="2:11" s="37" customFormat="1" ht="15" customHeight="1" thickBot="1">
      <c r="B66" s="238">
        <v>39600</v>
      </c>
      <c r="C66" s="39">
        <f>'HTHW Usage'!G67</f>
        <v>13045.003846875012</v>
      </c>
      <c r="D66" s="39">
        <f>Electric!O66</f>
        <v>25272</v>
      </c>
      <c r="E66" s="39">
        <f>'Nat Gas Usage'!H66</f>
        <v>1628.2007766990287</v>
      </c>
      <c r="F66" s="39">
        <f>'Water Usage'!L67</f>
        <v>2538.513368983957</v>
      </c>
      <c r="G66" s="12">
        <f t="shared" si="7"/>
        <v>42483.717992558</v>
      </c>
      <c r="H66" s="125">
        <f t="shared" si="4"/>
        <v>37810.50901337662</v>
      </c>
      <c r="I66" s="318">
        <f>SUM(H64:H66)</f>
        <v>112959.43431400308</v>
      </c>
      <c r="J66" s="235">
        <f>SUM(I55:I66)</f>
        <v>521673.8352882545</v>
      </c>
      <c r="K66" s="329"/>
    </row>
    <row r="67" spans="2:10" s="319" customFormat="1" ht="18" customHeight="1">
      <c r="B67" s="236">
        <v>39630</v>
      </c>
      <c r="C67" s="149">
        <f>'HTHW Usage'!G68</f>
        <v>10960.614603999868</v>
      </c>
      <c r="D67" s="149">
        <f>Electric!O67</f>
        <v>24507.249999999996</v>
      </c>
      <c r="E67" s="149">
        <f>'Nat Gas Usage'!H67</f>
        <v>1424.8120500000002</v>
      </c>
      <c r="F67" s="149">
        <f>'Water Usage'!L68</f>
        <v>2723.3244652406333</v>
      </c>
      <c r="G67" s="150">
        <f aca="true" t="shared" si="8" ref="G67:G78">SUM(C67:F67)</f>
        <v>39616.0011192405</v>
      </c>
      <c r="H67" s="151">
        <f t="shared" si="4"/>
        <v>35258.24099612405</v>
      </c>
      <c r="I67" s="393"/>
      <c r="J67" s="392">
        <f>(J66-J54)/J54</f>
        <v>0.10485332567593209</v>
      </c>
    </row>
    <row r="68" spans="2:10" s="319" customFormat="1" ht="18" customHeight="1">
      <c r="B68" s="122">
        <v>39661</v>
      </c>
      <c r="C68" s="110">
        <f>'HTHW Usage'!G69</f>
        <v>10993.835512000112</v>
      </c>
      <c r="D68" s="110">
        <f>Electric!O68</f>
        <v>25776.449999999997</v>
      </c>
      <c r="E68" s="110">
        <f>'Nat Gas Usage'!H68</f>
        <v>1384.05835</v>
      </c>
      <c r="F68" s="110">
        <f>'Water Usage'!L69</f>
        <v>3087.895721925138</v>
      </c>
      <c r="G68" s="123">
        <f t="shared" si="8"/>
        <v>41242.23958392525</v>
      </c>
      <c r="H68" s="124">
        <f t="shared" si="4"/>
        <v>36705.59322969347</v>
      </c>
      <c r="I68" s="394"/>
      <c r="J68" s="321"/>
    </row>
    <row r="69" spans="2:10" s="319" customFormat="1" ht="18" customHeight="1" thickBot="1">
      <c r="B69" s="238">
        <v>39692</v>
      </c>
      <c r="C69" s="39">
        <f>'HTHW Usage'!G70</f>
        <v>10860.424563999919</v>
      </c>
      <c r="D69" s="39">
        <f>Electric!O69</f>
        <v>25191.949999999997</v>
      </c>
      <c r="E69" s="39">
        <f>'Nat Gas Usage'!H69</f>
        <v>1846.4561</v>
      </c>
      <c r="F69" s="39">
        <f>'Water Usage'!L70</f>
        <v>3353.5885026738</v>
      </c>
      <c r="G69" s="12">
        <f t="shared" si="8"/>
        <v>41252.419166673724</v>
      </c>
      <c r="H69" s="125">
        <f t="shared" si="4"/>
        <v>36714.653058339616</v>
      </c>
      <c r="I69" s="395">
        <f>SUM(H67:H69)</f>
        <v>108678.48728415713</v>
      </c>
      <c r="J69" s="323"/>
    </row>
    <row r="70" spans="2:10" s="319" customFormat="1" ht="18" customHeight="1">
      <c r="B70" s="236">
        <v>39722</v>
      </c>
      <c r="C70" s="149">
        <f>'HTHW Usage'!G71</f>
        <v>14492.049855999929</v>
      </c>
      <c r="D70" s="149">
        <f>Electric!O70</f>
        <v>23045.999999999996</v>
      </c>
      <c r="E70" s="149">
        <f>'Nat Gas Usage'!H70</f>
        <v>2371.55185</v>
      </c>
      <c r="F70" s="149">
        <f>'Water Usage'!L71</f>
        <v>3191.285561497332</v>
      </c>
      <c r="G70" s="150">
        <f t="shared" si="8"/>
        <v>43100.88726749726</v>
      </c>
      <c r="H70" s="151">
        <f t="shared" si="4"/>
        <v>38359.78966807256</v>
      </c>
      <c r="I70" s="393"/>
      <c r="J70" s="321"/>
    </row>
    <row r="71" spans="2:10" s="319" customFormat="1" ht="18" customHeight="1">
      <c r="B71" s="122">
        <v>39753</v>
      </c>
      <c r="C71" s="110">
        <f>'HTHW Usage'!G72</f>
        <v>20256.316823999972</v>
      </c>
      <c r="D71" s="110">
        <f>Electric!O71</f>
        <v>18591.274999999998</v>
      </c>
      <c r="E71" s="110">
        <f>'Nat Gas Usage'!H71</f>
        <v>3580.0558</v>
      </c>
      <c r="F71" s="110">
        <f>'Water Usage'!L72</f>
        <v>2904.840508021382</v>
      </c>
      <c r="G71" s="123">
        <f t="shared" si="8"/>
        <v>45332.48813202136</v>
      </c>
      <c r="H71" s="124">
        <f t="shared" si="4"/>
        <v>40345.914437499014</v>
      </c>
      <c r="I71" s="393"/>
      <c r="J71" s="321"/>
    </row>
    <row r="72" spans="2:10" s="319" customFormat="1" ht="18" customHeight="1" thickBot="1">
      <c r="B72" s="238">
        <v>39783</v>
      </c>
      <c r="C72" s="39">
        <f>'HTHW Usage'!G73</f>
        <v>22604.982288000145</v>
      </c>
      <c r="D72" s="39">
        <f>Electric!O72</f>
        <v>17338.774999999998</v>
      </c>
      <c r="E72" s="39">
        <f>'Nat Gas Usage'!H72</f>
        <v>3407.6363000000006</v>
      </c>
      <c r="F72" s="39">
        <f>'Water Usage'!L73</f>
        <v>2067.743716577545</v>
      </c>
      <c r="G72" s="12">
        <f t="shared" si="8"/>
        <v>45419.137304577685</v>
      </c>
      <c r="H72" s="125">
        <f t="shared" si="4"/>
        <v>40423.032201074144</v>
      </c>
      <c r="I72" s="395">
        <f>SUM(H70:H72)</f>
        <v>119128.73630664573</v>
      </c>
      <c r="J72" s="321"/>
    </row>
    <row r="73" spans="2:10" s="348" customFormat="1" ht="18" customHeight="1">
      <c r="B73" s="396">
        <v>39814</v>
      </c>
      <c r="C73" s="397">
        <f>'HTHW Usage'!G74</f>
        <v>30784.004992000013</v>
      </c>
      <c r="D73" s="397">
        <f>Electric!O73</f>
        <v>15614.499999999998</v>
      </c>
      <c r="E73" s="397">
        <f>'Nat Gas Usage'!H73</f>
        <v>2672.50225</v>
      </c>
      <c r="F73" s="397">
        <f>'Water Usage'!L74</f>
        <v>1725.0393048128287</v>
      </c>
      <c r="G73" s="398">
        <f t="shared" si="8"/>
        <v>50796.04654681284</v>
      </c>
      <c r="H73" s="399">
        <f t="shared" si="4"/>
        <v>45208.48142666343</v>
      </c>
      <c r="I73" s="400"/>
      <c r="J73" s="401"/>
    </row>
    <row r="74" spans="2:10" s="348" customFormat="1" ht="18" customHeight="1">
      <c r="B74" s="402">
        <v>39845</v>
      </c>
      <c r="C74" s="403">
        <f>'HTHW Usage'!G75</f>
        <v>30777.85297199991</v>
      </c>
      <c r="D74" s="403">
        <f>Electric!O74</f>
        <v>16232.399999999998</v>
      </c>
      <c r="E74" s="403">
        <f>'Nat Gas Usage'!H74</f>
        <v>3570.6511</v>
      </c>
      <c r="F74" s="403">
        <f>'Water Usage'!L75</f>
        <v>2613.4064171122996</v>
      </c>
      <c r="G74" s="404">
        <f t="shared" si="8"/>
        <v>53194.31048911221</v>
      </c>
      <c r="H74" s="405">
        <f t="shared" si="4"/>
        <v>47342.93633530987</v>
      </c>
      <c r="I74" s="400"/>
      <c r="J74" s="401"/>
    </row>
    <row r="75" spans="2:10" s="348" customFormat="1" ht="18" customHeight="1" thickBot="1">
      <c r="B75" s="406">
        <v>39873</v>
      </c>
      <c r="C75" s="407">
        <f>'HTHW Usage'!G76</f>
        <v>25149.281988000144</v>
      </c>
      <c r="D75" s="407">
        <f>Electric!O75</f>
        <v>17188.475</v>
      </c>
      <c r="E75" s="407">
        <f>'Nat Gas Usage'!H75</f>
        <v>3365.31515</v>
      </c>
      <c r="F75" s="407">
        <f>'Water Usage'!L76</f>
        <v>2030.1136363636365</v>
      </c>
      <c r="G75" s="408">
        <f t="shared" si="8"/>
        <v>47733.18577436378</v>
      </c>
      <c r="H75" s="409">
        <f t="shared" si="4"/>
        <v>42482.53533918376</v>
      </c>
      <c r="I75" s="410">
        <f>SUM(H73:H75)</f>
        <v>135033.95310115707</v>
      </c>
      <c r="J75" s="401"/>
    </row>
    <row r="76" spans="2:10" s="319" customFormat="1" ht="18" customHeight="1">
      <c r="B76" s="236">
        <v>39904</v>
      </c>
      <c r="C76" s="149">
        <f>'HTHW Usage'!G77</f>
        <v>20820.1934</v>
      </c>
      <c r="D76" s="149">
        <f>Electric!O76</f>
        <v>18407.574999999997</v>
      </c>
      <c r="E76" s="149">
        <f>'Nat Gas Usage'!H76</f>
        <v>4581.656349999999</v>
      </c>
      <c r="F76" s="149">
        <f>'Water Usage'!L77</f>
        <v>3541.1020053475872</v>
      </c>
      <c r="G76" s="150">
        <f t="shared" si="8"/>
        <v>47350.526755347586</v>
      </c>
      <c r="H76" s="151">
        <f t="shared" si="4"/>
        <v>42141.96881225935</v>
      </c>
      <c r="I76" s="411"/>
      <c r="J76" s="321"/>
    </row>
    <row r="77" spans="2:10" s="319" customFormat="1" ht="18" customHeight="1">
      <c r="B77" s="122">
        <v>39934</v>
      </c>
      <c r="C77" s="110">
        <f>'HTHW Usage'!G78</f>
        <v>11093.498235999827</v>
      </c>
      <c r="D77" s="110">
        <f>Electric!O77</f>
        <v>16165.599999999999</v>
      </c>
      <c r="E77" s="110">
        <f>'Nat Gas Usage'!H77</f>
        <v>1656.7946499999998</v>
      </c>
      <c r="F77" s="110">
        <f>'Water Usage'!L78</f>
        <v>2010.5290106951868</v>
      </c>
      <c r="G77" s="123">
        <f t="shared" si="8"/>
        <v>30926.42189669501</v>
      </c>
      <c r="H77" s="124">
        <f t="shared" si="4"/>
        <v>27524.515488058558</v>
      </c>
      <c r="I77" s="393"/>
      <c r="J77" s="321"/>
    </row>
    <row r="78" spans="2:11" s="319" customFormat="1" ht="18" customHeight="1" thickBot="1">
      <c r="B78" s="238">
        <v>39965</v>
      </c>
      <c r="C78" s="39">
        <f>'HTHW Usage'!G79</f>
        <v>12069.20860799999</v>
      </c>
      <c r="D78" s="39">
        <f>Electric!O78</f>
        <v>20591.1</v>
      </c>
      <c r="E78" s="39">
        <f>'Nat Gas Usage'!H78</f>
        <v>1506.31945</v>
      </c>
      <c r="F78" s="39">
        <f>'Water Usage'!L79</f>
        <v>3120.802139037445</v>
      </c>
      <c r="G78" s="12">
        <f t="shared" si="8"/>
        <v>37287.430197037436</v>
      </c>
      <c r="H78" s="125">
        <f t="shared" si="4"/>
        <v>33185.81287536332</v>
      </c>
      <c r="I78" s="395">
        <f>SUM(H76:H78)</f>
        <v>102852.29717568123</v>
      </c>
      <c r="J78" s="235">
        <f>SUM(I67:I78)</f>
        <v>465693.4738676412</v>
      </c>
      <c r="K78" s="37"/>
    </row>
    <row r="79" spans="2:10" s="319" customFormat="1" ht="18" customHeight="1">
      <c r="B79" s="236">
        <v>39995</v>
      </c>
      <c r="C79" s="149">
        <f>'HTHW Usage'!G80</f>
        <v>12095.38161562498</v>
      </c>
      <c r="D79" s="149">
        <f>Electric!O79</f>
        <v>26834.500000000004</v>
      </c>
      <c r="E79" s="149">
        <f>'Nat Gas Usage'!H79</f>
        <v>1377.5174</v>
      </c>
      <c r="F79" s="149">
        <f>'Water Usage'!L80</f>
        <v>3165.1727272727303</v>
      </c>
      <c r="G79" s="150">
        <f aca="true" t="shared" si="9" ref="G79:G90">SUM(C79:F79)</f>
        <v>43472.57174289771</v>
      </c>
      <c r="H79" s="151">
        <f t="shared" si="4"/>
        <v>38690.58885117896</v>
      </c>
      <c r="I79" s="411"/>
      <c r="J79" s="392">
        <f>(J78-J66)/J66</f>
        <v>-0.10730912235550585</v>
      </c>
    </row>
    <row r="80" spans="2:10" s="319" customFormat="1" ht="18" customHeight="1">
      <c r="B80" s="122">
        <v>40026</v>
      </c>
      <c r="C80" s="110">
        <f>'HTHW Usage'!G81</f>
        <v>12019.511831250087</v>
      </c>
      <c r="D80" s="110">
        <f>Electric!O80</f>
        <v>26341.500000000004</v>
      </c>
      <c r="E80" s="110">
        <f>'Nat Gas Usage'!H80</f>
        <v>2684.4314</v>
      </c>
      <c r="F80" s="110">
        <f>'Water Usage'!L81</f>
        <v>3133.5931818181775</v>
      </c>
      <c r="G80" s="123">
        <f t="shared" si="9"/>
        <v>44179.03641306827</v>
      </c>
      <c r="H80" s="124">
        <f t="shared" si="4"/>
        <v>39319.342407630764</v>
      </c>
      <c r="I80" s="393"/>
      <c r="J80" s="321"/>
    </row>
    <row r="81" spans="2:10" s="319" customFormat="1" ht="18" customHeight="1" thickBot="1">
      <c r="B81" s="238">
        <v>40057</v>
      </c>
      <c r="C81" s="39">
        <f>'HTHW Usage'!G82</f>
        <v>5882.415</v>
      </c>
      <c r="D81" s="39">
        <f>Electric!O81</f>
        <v>24165.5</v>
      </c>
      <c r="E81" s="39">
        <f>'Nat Gas Usage'!H81</f>
        <v>3991.3453999999997</v>
      </c>
      <c r="F81" s="39">
        <f>'Water Usage'!L82</f>
        <v>1955.3311497326235</v>
      </c>
      <c r="G81" s="12">
        <f t="shared" si="9"/>
        <v>35994.59154973262</v>
      </c>
      <c r="H81" s="125">
        <f t="shared" si="4"/>
        <v>32035.186479262033</v>
      </c>
      <c r="I81" s="395">
        <f>SUM(H79:H81)</f>
        <v>110045.11773807176</v>
      </c>
      <c r="J81" s="323"/>
    </row>
    <row r="82" spans="1:10" s="413" customFormat="1" ht="18" customHeight="1">
      <c r="A82" s="319"/>
      <c r="B82" s="236">
        <v>40087</v>
      </c>
      <c r="C82" s="149">
        <f>'HTHW Usage'!G83</f>
        <v>20251.7176640626</v>
      </c>
      <c r="D82" s="149">
        <f>Electric!O82</f>
        <v>22074.5</v>
      </c>
      <c r="E82" s="149">
        <f>'Nat Gas Usage'!H82</f>
        <v>2696.4489999999996</v>
      </c>
      <c r="F82" s="149">
        <f>'Water Usage'!L83</f>
        <v>4072.912165775398</v>
      </c>
      <c r="G82" s="150">
        <f t="shared" si="9"/>
        <v>49095.578829838</v>
      </c>
      <c r="H82" s="151">
        <f t="shared" si="4"/>
        <v>43695.06515855582</v>
      </c>
      <c r="I82" s="411"/>
      <c r="J82" s="412"/>
    </row>
    <row r="83" spans="1:10" s="413" customFormat="1" ht="18" customHeight="1">
      <c r="A83" s="319"/>
      <c r="B83" s="122">
        <v>40118</v>
      </c>
      <c r="C83" s="110">
        <f>'HTHW Usage'!G84</f>
        <v>15990.47618437501</v>
      </c>
      <c r="D83" s="110">
        <f>Electric!O83</f>
        <v>17960.5</v>
      </c>
      <c r="E83" s="110">
        <f>'Nat Gas Usage'!H83</f>
        <v>2669.4094</v>
      </c>
      <c r="F83" s="110">
        <f>'Water Usage'!L84</f>
        <v>2491.015775401059</v>
      </c>
      <c r="G83" s="123">
        <f t="shared" si="9"/>
        <v>39111.401359776064</v>
      </c>
      <c r="H83" s="124">
        <f t="shared" si="4"/>
        <v>34809.147210200696</v>
      </c>
      <c r="I83" s="393"/>
      <c r="J83" s="412"/>
    </row>
    <row r="84" spans="1:10" s="413" customFormat="1" ht="18" customHeight="1" thickBot="1">
      <c r="A84" s="319"/>
      <c r="B84" s="238">
        <v>40148</v>
      </c>
      <c r="C84" s="39">
        <f>'HTHW Usage'!G85</f>
        <v>21950.766337499823</v>
      </c>
      <c r="D84" s="39">
        <f>Electric!O84</f>
        <v>16566.5</v>
      </c>
      <c r="E84" s="39">
        <f>'Nat Gas Usage'!H84</f>
        <v>3023.9285999999997</v>
      </c>
      <c r="F84" s="39">
        <f>'Water Usage'!L85</f>
        <v>2298.778609625675</v>
      </c>
      <c r="G84" s="12">
        <f t="shared" si="9"/>
        <v>43839.9735471255</v>
      </c>
      <c r="H84" s="125">
        <f t="shared" si="4"/>
        <v>39017.57645694169</v>
      </c>
      <c r="I84" s="395">
        <f>SUM(H82:H84)</f>
        <v>117521.78882569821</v>
      </c>
      <c r="J84" s="412"/>
    </row>
    <row r="85" spans="1:10" s="413" customFormat="1" ht="18" customHeight="1">
      <c r="A85" s="319"/>
      <c r="B85" s="236">
        <v>40179</v>
      </c>
      <c r="C85" s="149">
        <f>'HTHW Usage'!G86</f>
        <v>26591.690967187675</v>
      </c>
      <c r="D85" s="149">
        <f>Electric!O85</f>
        <v>15011.000000000002</v>
      </c>
      <c r="E85" s="149">
        <f>'Nat Gas Usage'!H85</f>
        <v>2849.6733999999997</v>
      </c>
      <c r="F85" s="149">
        <f>'Water Usage'!L86</f>
        <v>1670.4252673796732</v>
      </c>
      <c r="G85" s="150">
        <f t="shared" si="9"/>
        <v>46122.78963456735</v>
      </c>
      <c r="H85" s="151">
        <f t="shared" si="4"/>
        <v>41049.28277476494</v>
      </c>
      <c r="I85" s="411"/>
      <c r="J85" s="412"/>
    </row>
    <row r="86" spans="1:10" s="413" customFormat="1" ht="18" customHeight="1">
      <c r="A86" s="319"/>
      <c r="B86" s="122">
        <v>40210</v>
      </c>
      <c r="C86" s="110">
        <f>'HTHW Usage'!G87</f>
        <v>26355.725910937508</v>
      </c>
      <c r="D86" s="110">
        <f>Electric!O86</f>
        <v>18538.5</v>
      </c>
      <c r="E86" s="110">
        <f>'Nat Gas Usage'!H86</f>
        <v>2849.6733999999997</v>
      </c>
      <c r="F86" s="110">
        <f>'Water Usage'!L87</f>
        <v>2256.9025401069534</v>
      </c>
      <c r="G86" s="123">
        <f t="shared" si="9"/>
        <v>50000.80185104446</v>
      </c>
      <c r="H86" s="124">
        <f t="shared" si="4"/>
        <v>44500.71364742957</v>
      </c>
      <c r="I86" s="393"/>
      <c r="J86" s="412"/>
    </row>
    <row r="87" spans="1:10" s="413" customFormat="1" ht="18" customHeight="1" thickBot="1">
      <c r="A87" s="319"/>
      <c r="B87" s="238">
        <v>40238</v>
      </c>
      <c r="C87" s="39">
        <f>'HTHW Usage'!G88</f>
        <v>21084.614151562295</v>
      </c>
      <c r="D87" s="39">
        <f>Electric!O87</f>
        <v>16804.5</v>
      </c>
      <c r="E87" s="39">
        <f>'Nat Gas Usage'!H87</f>
        <v>3763.011</v>
      </c>
      <c r="F87" s="39">
        <f>'Water Usage'!L88</f>
        <v>2046.9383689839638</v>
      </c>
      <c r="G87" s="12">
        <f t="shared" si="9"/>
        <v>43699.06352054626</v>
      </c>
      <c r="H87" s="125">
        <f t="shared" si="4"/>
        <v>38892.166533286174</v>
      </c>
      <c r="I87" s="395">
        <f>SUM(H85:H87)</f>
        <v>124442.16295548069</v>
      </c>
      <c r="J87" s="412"/>
    </row>
    <row r="88" spans="1:10" s="413" customFormat="1" ht="18" customHeight="1">
      <c r="A88" s="319"/>
      <c r="B88" s="236">
        <v>40269</v>
      </c>
      <c r="C88" s="149">
        <f>'HTHW Usage'!G89</f>
        <v>15361.291739062606</v>
      </c>
      <c r="D88" s="149">
        <f>Electric!O88</f>
        <v>19448</v>
      </c>
      <c r="E88" s="149">
        <f>'Nat Gas Usage'!H88</f>
        <v>2783.5766</v>
      </c>
      <c r="F88" s="149">
        <f>'Water Usage'!L89</f>
        <v>2700.343048128348</v>
      </c>
      <c r="G88" s="150">
        <f t="shared" si="9"/>
        <v>40293.21138719096</v>
      </c>
      <c r="H88" s="151">
        <f t="shared" si="4"/>
        <v>35860.958134599954</v>
      </c>
      <c r="I88" s="411"/>
      <c r="J88" s="412"/>
    </row>
    <row r="89" spans="1:10" s="413" customFormat="1" ht="18" customHeight="1">
      <c r="A89" s="319"/>
      <c r="B89" s="122">
        <v>40299</v>
      </c>
      <c r="C89" s="110">
        <f>'HTHW Usage'!G90</f>
        <v>12592.378837500068</v>
      </c>
      <c r="D89" s="110">
        <f>Electric!O89</f>
        <v>16728</v>
      </c>
      <c r="E89" s="110">
        <f>'Nat Gas Usage'!H89</f>
        <v>1602.8473999999999</v>
      </c>
      <c r="F89" s="110">
        <f>'Water Usage'!L90</f>
        <v>1759.0072192513355</v>
      </c>
      <c r="G89" s="123">
        <f t="shared" si="9"/>
        <v>32682.2334567514</v>
      </c>
      <c r="H89" s="124">
        <f t="shared" si="4"/>
        <v>29087.18777650875</v>
      </c>
      <c r="I89" s="393"/>
      <c r="J89" s="412"/>
    </row>
    <row r="90" spans="1:11" s="413" customFormat="1" ht="18" customHeight="1" thickBot="1">
      <c r="A90" s="319"/>
      <c r="B90" s="238">
        <v>40330</v>
      </c>
      <c r="C90" s="39">
        <f>'HTHW Usage'!G91</f>
        <v>9666.21160312497</v>
      </c>
      <c r="D90" s="39">
        <f>Electric!O90</f>
        <v>24012.5</v>
      </c>
      <c r="E90" s="39">
        <f>'Nat Gas Usage'!H90</f>
        <v>1401.5526</v>
      </c>
      <c r="F90" s="39">
        <f>'Water Usage'!L91</f>
        <v>2787.2796791443848</v>
      </c>
      <c r="G90" s="12">
        <f t="shared" si="9"/>
        <v>37867.543882269354</v>
      </c>
      <c r="H90" s="125">
        <f t="shared" si="4"/>
        <v>33702.114055219725</v>
      </c>
      <c r="I90" s="395">
        <f>SUM(H88:H90)</f>
        <v>98650.25996632842</v>
      </c>
      <c r="J90" s="235">
        <f>SUM(I79:I90)</f>
        <v>450659.32948557904</v>
      </c>
      <c r="K90" s="37"/>
    </row>
    <row r="91" spans="1:11" s="413" customFormat="1" ht="18" customHeight="1">
      <c r="A91" s="319"/>
      <c r="B91" s="280">
        <v>40360</v>
      </c>
      <c r="C91" s="281">
        <f>'HTHW Usage'!G92</f>
        <v>7897.081499999955</v>
      </c>
      <c r="D91" s="281">
        <f>Electric!O91</f>
        <v>29318.999999999996</v>
      </c>
      <c r="E91" s="281">
        <f>'Nat Gas Usage'!H91</f>
        <v>1308.2538000000002</v>
      </c>
      <c r="F91" s="281">
        <f>'Water Usage'!L92</f>
        <v>3209.294117647065</v>
      </c>
      <c r="G91" s="282">
        <f aca="true" t="shared" si="10" ref="G91:G102">SUM(C91:F91)</f>
        <v>41733.62941764701</v>
      </c>
      <c r="H91" s="283">
        <f t="shared" si="4"/>
        <v>37142.93018170584</v>
      </c>
      <c r="I91" s="369"/>
      <c r="J91" s="392">
        <f>(J90-J78)/J78</f>
        <v>-0.03228334779356414</v>
      </c>
      <c r="K91" s="37"/>
    </row>
    <row r="92" spans="1:11" s="413" customFormat="1" ht="18" customHeight="1">
      <c r="A92" s="319"/>
      <c r="B92" s="214">
        <v>40391</v>
      </c>
      <c r="C92" s="197">
        <f>'HTHW Usage'!G93</f>
        <v>7918.245431250108</v>
      </c>
      <c r="D92" s="197">
        <f>Electric!O92</f>
        <v>30371.699999999997</v>
      </c>
      <c r="E92" s="197">
        <f>'Nat Gas Usage'!H92</f>
        <v>1026.7131</v>
      </c>
      <c r="F92" s="197">
        <f>'Water Usage'!L93</f>
        <v>3146.8088235293985</v>
      </c>
      <c r="G92" s="215">
        <f t="shared" si="10"/>
        <v>42463.4673547795</v>
      </c>
      <c r="H92" s="216">
        <f t="shared" si="4"/>
        <v>37792.48594575376</v>
      </c>
      <c r="I92" s="320"/>
      <c r="J92" s="235"/>
      <c r="K92" s="37"/>
    </row>
    <row r="93" spans="1:11" s="413" customFormat="1" ht="18" customHeight="1" thickBot="1">
      <c r="A93" s="319"/>
      <c r="B93" s="284">
        <v>40422</v>
      </c>
      <c r="C93" s="217">
        <f>'HTHW Usage'!G94</f>
        <v>7937.24662499982</v>
      </c>
      <c r="D93" s="217">
        <f>Electric!O93</f>
        <v>27944.399999999998</v>
      </c>
      <c r="E93" s="217">
        <f>'Nat Gas Usage'!H93</f>
        <v>3024.1113</v>
      </c>
      <c r="F93" s="217">
        <f>'Water Usage'!L94</f>
        <v>3515.5441176470576</v>
      </c>
      <c r="G93" s="218">
        <f t="shared" si="10"/>
        <v>42421.30204264687</v>
      </c>
      <c r="H93" s="219">
        <f t="shared" si="4"/>
        <v>37754.95881795572</v>
      </c>
      <c r="I93" s="322">
        <f>SUM(H91:H93)</f>
        <v>112690.37494541531</v>
      </c>
      <c r="J93" s="235"/>
      <c r="K93" s="37"/>
    </row>
    <row r="94" spans="1:11" s="413" customFormat="1" ht="18" customHeight="1">
      <c r="A94" s="319"/>
      <c r="B94" s="280">
        <v>40452</v>
      </c>
      <c r="C94" s="281">
        <f>'HTHW Usage'!G95</f>
        <v>10555.549331250126</v>
      </c>
      <c r="D94" s="281">
        <f>Electric!O94</f>
        <v>29211.7</v>
      </c>
      <c r="E94" s="281">
        <f>'Nat Gas Usage'!H94</f>
        <v>2220.1095</v>
      </c>
      <c r="F94" s="281">
        <f>'Water Usage'!L95</f>
        <v>2790.889705882355</v>
      </c>
      <c r="G94" s="282">
        <f t="shared" si="10"/>
        <v>44778.24853713248</v>
      </c>
      <c r="H94" s="283">
        <f t="shared" si="4"/>
        <v>39852.64119804791</v>
      </c>
      <c r="I94" s="369"/>
      <c r="J94" s="235"/>
      <c r="K94" s="37"/>
    </row>
    <row r="95" spans="1:11" s="413" customFormat="1" ht="18" customHeight="1">
      <c r="A95" s="319"/>
      <c r="B95" s="214">
        <v>40483</v>
      </c>
      <c r="C95" s="197">
        <f>'HTHW Usage'!G96</f>
        <v>16066.513443749982</v>
      </c>
      <c r="D95" s="197">
        <f>Electric!O95</f>
        <v>20180.868</v>
      </c>
      <c r="E95" s="197">
        <f>'Nat Gas Usage'!H95</f>
        <v>2522.6607</v>
      </c>
      <c r="F95" s="197">
        <f>'Water Usage'!L96</f>
        <v>2825.9926470588275</v>
      </c>
      <c r="G95" s="215">
        <f t="shared" si="10"/>
        <v>41596.03479080881</v>
      </c>
      <c r="H95" s="216">
        <f t="shared" si="4"/>
        <v>37020.47096381984</v>
      </c>
      <c r="I95" s="320"/>
      <c r="J95" s="235"/>
      <c r="K95" s="37"/>
    </row>
    <row r="96" spans="1:11" s="413" customFormat="1" ht="18" customHeight="1" thickBot="1">
      <c r="A96" s="319"/>
      <c r="B96" s="284">
        <v>40513</v>
      </c>
      <c r="C96" s="217">
        <f>'HTHW Usage'!G97</f>
        <v>20256.35390625</v>
      </c>
      <c r="D96" s="217">
        <f>Electric!O96</f>
        <v>17159.01</v>
      </c>
      <c r="E96" s="217">
        <f>'Nat Gas Usage'!H96</f>
        <v>5366.0817</v>
      </c>
      <c r="F96" s="217">
        <f>'Water Usage'!L97</f>
        <v>2264.5514705882415</v>
      </c>
      <c r="G96" s="218">
        <f t="shared" si="10"/>
        <v>45045.99707683825</v>
      </c>
      <c r="H96" s="219">
        <f aca="true" t="shared" si="11" ref="H96:H102">G96*$H$4</f>
        <v>40090.93739838604</v>
      </c>
      <c r="I96" s="322">
        <f>SUM(H94:H96)</f>
        <v>116964.0495602538</v>
      </c>
      <c r="J96" s="235"/>
      <c r="K96" s="37"/>
    </row>
    <row r="97" spans="1:11" s="413" customFormat="1" ht="18" customHeight="1">
      <c r="A97" s="319"/>
      <c r="B97" s="280">
        <v>40544</v>
      </c>
      <c r="C97" s="281">
        <f>'HTHW Usage'!G98</f>
        <v>25412.320106249917</v>
      </c>
      <c r="D97" s="281">
        <f>Electric!O97</f>
        <v>13505.793</v>
      </c>
      <c r="E97" s="281">
        <f>'Nat Gas Usage'!H97</f>
        <v>3479.3388</v>
      </c>
      <c r="F97" s="281">
        <f>'Water Usage'!L98</f>
        <v>2003.8014705882238</v>
      </c>
      <c r="G97" s="282">
        <f t="shared" si="10"/>
        <v>44401.25337683814</v>
      </c>
      <c r="H97" s="283">
        <f t="shared" si="11"/>
        <v>39517.11550538595</v>
      </c>
      <c r="I97" s="369"/>
      <c r="J97" s="235"/>
      <c r="K97" s="37"/>
    </row>
    <row r="98" spans="1:11" s="413" customFormat="1" ht="18" customHeight="1">
      <c r="A98" s="319"/>
      <c r="B98" s="214">
        <v>40575</v>
      </c>
      <c r="C98" s="197">
        <f>'HTHW Usage'!G99</f>
        <v>22049.108812500042</v>
      </c>
      <c r="D98" s="197">
        <f>Electric!O98</f>
        <v>16953.950999999997</v>
      </c>
      <c r="E98" s="197">
        <f>'Nat Gas Usage'!H98</f>
        <v>3325.2618</v>
      </c>
      <c r="F98" s="197">
        <f>'Water Usage'!L99</f>
        <v>1971.889705882356</v>
      </c>
      <c r="G98" s="215">
        <f t="shared" si="10"/>
        <v>44300.2113183824</v>
      </c>
      <c r="H98" s="216">
        <f t="shared" si="11"/>
        <v>39427.18807336033</v>
      </c>
      <c r="I98" s="320"/>
      <c r="J98" s="235"/>
      <c r="K98" s="37"/>
    </row>
    <row r="99" spans="1:11" s="413" customFormat="1" ht="18" customHeight="1" thickBot="1">
      <c r="A99" s="319"/>
      <c r="B99" s="284">
        <v>40603</v>
      </c>
      <c r="C99" s="217">
        <f>'HTHW Usage'!G100</f>
        <v>19666.235531250044</v>
      </c>
      <c r="D99" s="217">
        <f>Electric!O99</f>
        <v>8792.829</v>
      </c>
      <c r="E99" s="217">
        <f>'Nat Gas Usage'!H99</f>
        <v>3921.96</v>
      </c>
      <c r="F99" s="217">
        <f>'Water Usage'!L100</f>
        <v>1931.7941176470722</v>
      </c>
      <c r="G99" s="218">
        <f t="shared" si="10"/>
        <v>34312.81864889711</v>
      </c>
      <c r="H99" s="219">
        <f t="shared" si="11"/>
        <v>30538.408597518428</v>
      </c>
      <c r="I99" s="322">
        <f>SUM(H97:H99)</f>
        <v>109482.7121762647</v>
      </c>
      <c r="J99" s="235"/>
      <c r="K99" s="37"/>
    </row>
    <row r="100" spans="1:11" s="324" customFormat="1" ht="18" customHeight="1">
      <c r="A100" s="481"/>
      <c r="B100" s="280">
        <v>40634</v>
      </c>
      <c r="C100" s="281">
        <f>'HTHW Usage'!G101</f>
        <v>12362.207549999855</v>
      </c>
      <c r="D100" s="281">
        <f>Electric!O100</f>
        <v>23913.254999999997</v>
      </c>
      <c r="E100" s="281">
        <f>'Nat Gas Usage'!H100</f>
        <v>3196.3974</v>
      </c>
      <c r="F100" s="281">
        <f>'Water Usage'!L101</f>
        <v>1841.2058823529173</v>
      </c>
      <c r="G100" s="282">
        <f t="shared" si="10"/>
        <v>41313.06583235277</v>
      </c>
      <c r="H100" s="283">
        <f t="shared" si="11"/>
        <v>36768.62859079397</v>
      </c>
      <c r="I100" s="369"/>
      <c r="J100" s="482"/>
      <c r="K100" s="40"/>
    </row>
    <row r="101" spans="1:11" s="324" customFormat="1" ht="18" customHeight="1">
      <c r="A101" s="481"/>
      <c r="B101" s="214">
        <v>40664</v>
      </c>
      <c r="C101" s="197">
        <f>'HTHW Usage'!G102</f>
        <v>7305.572793750053</v>
      </c>
      <c r="D101" s="197">
        <f>Electric!O101</f>
        <v>14586.594</v>
      </c>
      <c r="E101" s="197">
        <f>'Nat Gas Usage'!H101</f>
        <v>2136.0675</v>
      </c>
      <c r="F101" s="197">
        <f>'Water Usage'!L102</f>
        <v>1641.2941176470902</v>
      </c>
      <c r="G101" s="215">
        <f t="shared" si="10"/>
        <v>25669.528411397143</v>
      </c>
      <c r="H101" s="216">
        <f t="shared" si="11"/>
        <v>22845.880286143456</v>
      </c>
      <c r="I101" s="320"/>
      <c r="J101" s="482"/>
      <c r="K101" s="40"/>
    </row>
    <row r="102" spans="1:11" s="324" customFormat="1" ht="18" customHeight="1" thickBot="1">
      <c r="A102" s="481"/>
      <c r="B102" s="284">
        <v>40695</v>
      </c>
      <c r="C102" s="217">
        <f>'HTHW Usage'!G103</f>
        <v>3588.5994375000446</v>
      </c>
      <c r="D102" s="217">
        <f>Electric!O102</f>
        <v>22168.296</v>
      </c>
      <c r="E102" s="217">
        <f>'Nat Gas Usage'!H102</f>
        <v>1654.2267000000002</v>
      </c>
      <c r="F102" s="217">
        <f>'Water Usage'!L103</f>
        <v>1958.4558823529192</v>
      </c>
      <c r="G102" s="218">
        <f t="shared" si="10"/>
        <v>29369.57801985296</v>
      </c>
      <c r="H102" s="219">
        <f t="shared" si="11"/>
        <v>26138.924437669135</v>
      </c>
      <c r="I102" s="322">
        <f>SUM(H100:H102)</f>
        <v>85753.43331460656</v>
      </c>
      <c r="J102" s="235">
        <f>SUM(I91:I102)</f>
        <v>424890.5699965403</v>
      </c>
      <c r="K102" s="40"/>
    </row>
    <row r="103" spans="2:10" s="324" customFormat="1" ht="18" customHeight="1">
      <c r="B103" s="325"/>
      <c r="C103" s="326"/>
      <c r="D103" s="326"/>
      <c r="E103" s="327" t="s">
        <v>102</v>
      </c>
      <c r="F103" s="326"/>
      <c r="G103" s="326"/>
      <c r="H103" s="328" t="s">
        <v>103</v>
      </c>
      <c r="I103" s="323">
        <f>SUM(I91:I102)</f>
        <v>424890.5699965403</v>
      </c>
      <c r="J103" s="392">
        <f>(J102-J90)/J90</f>
        <v>-0.057180130983759694</v>
      </c>
    </row>
    <row r="104" ht="12.75">
      <c r="G104" s="16"/>
    </row>
    <row r="105" spans="2:7" ht="12.75">
      <c r="B105" s="4" t="s">
        <v>89</v>
      </c>
      <c r="C105" s="165" t="s">
        <v>90</v>
      </c>
      <c r="G105" s="16"/>
    </row>
    <row r="106" spans="3:7" ht="12.75">
      <c r="C106" s="165" t="s">
        <v>93</v>
      </c>
      <c r="G106" s="16"/>
    </row>
    <row r="107" spans="3:7" ht="12.75">
      <c r="C107" s="165" t="s">
        <v>91</v>
      </c>
      <c r="G107" s="16"/>
    </row>
    <row r="108" spans="3:7" ht="12.75">
      <c r="C108" s="165" t="s">
        <v>95</v>
      </c>
      <c r="G108" s="16"/>
    </row>
    <row r="109" spans="3:7" ht="12.75">
      <c r="C109" s="20" t="s">
        <v>46</v>
      </c>
      <c r="G109" s="16"/>
    </row>
    <row r="110" spans="6:8" ht="12.75">
      <c r="F110" s="16"/>
      <c r="G110" s="21"/>
      <c r="H110" s="21"/>
    </row>
    <row r="111" spans="3:8" ht="12.75">
      <c r="C111" s="232"/>
      <c r="D111" s="232"/>
      <c r="E111" s="232"/>
      <c r="F111" s="232"/>
      <c r="G111" s="232"/>
      <c r="H111" s="232"/>
    </row>
    <row r="112" spans="3:8" ht="12.75">
      <c r="C112" s="232"/>
      <c r="D112" s="232"/>
      <c r="E112" s="232"/>
      <c r="F112" s="232"/>
      <c r="G112" s="232"/>
      <c r="H112" s="232"/>
    </row>
  </sheetData>
  <sheetProtection/>
  <printOptions horizontalCentered="1"/>
  <pageMargins left="0.75" right="0.75" top="0.5" bottom="0.5" header="0.5" footer="0.5"/>
  <pageSetup fitToHeight="1" fitToWidth="1" horizontalDpi="600" verticalDpi="600" orientation="landscape" scale="65" r:id="rId2"/>
  <headerFooter alignWithMargins="0">
    <oddFooter>&amp;L&amp;D&amp;Rpage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view="pageBreakPreview" zoomScaleSheetLayoutView="100" zoomScalePageLayoutView="0" workbookViewId="0" topLeftCell="A1">
      <pane xSplit="1" ySplit="6" topLeftCell="B8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98" sqref="F98:H103"/>
    </sheetView>
  </sheetViews>
  <sheetFormatPr defaultColWidth="9.140625" defaultRowHeight="12.75"/>
  <cols>
    <col min="1" max="1" width="9.28125" style="0" bestFit="1" customWidth="1"/>
    <col min="2" max="2" width="19.28125" style="0" customWidth="1"/>
    <col min="3" max="3" width="13.140625" style="0" bestFit="1" customWidth="1"/>
    <col min="4" max="4" width="16.140625" style="0" customWidth="1"/>
    <col min="5" max="5" width="13.421875" style="0" bestFit="1" customWidth="1"/>
    <col min="6" max="6" width="15.140625" style="0" bestFit="1" customWidth="1"/>
    <col min="7" max="7" width="14.00390625" style="0" bestFit="1" customWidth="1"/>
    <col min="8" max="8" width="12.7109375" style="5" customWidth="1"/>
    <col min="9" max="9" width="13.421875" style="0" bestFit="1" customWidth="1"/>
  </cols>
  <sheetData>
    <row r="1" spans="1:7" ht="18">
      <c r="A1" s="494" t="s">
        <v>73</v>
      </c>
      <c r="B1" s="494"/>
      <c r="C1" s="494"/>
      <c r="D1" s="494"/>
      <c r="E1" s="494"/>
      <c r="F1" s="494"/>
      <c r="G1" s="494"/>
    </row>
    <row r="2" spans="1:7" ht="18">
      <c r="A2" s="495" t="s">
        <v>34</v>
      </c>
      <c r="B2" s="495"/>
      <c r="C2" s="495"/>
      <c r="D2" s="495"/>
      <c r="E2" s="495"/>
      <c r="F2" s="495"/>
      <c r="G2" s="495"/>
    </row>
    <row r="3" spans="1:7" ht="12.75">
      <c r="A3" s="496"/>
      <c r="B3" s="496"/>
      <c r="C3" s="496"/>
      <c r="D3" s="496"/>
      <c r="E3" s="496"/>
      <c r="F3" s="496"/>
      <c r="G3" s="496"/>
    </row>
    <row r="4" ht="13.5" thickBot="1">
      <c r="G4" s="72">
        <f>SUMMARY!H4</f>
        <v>0.89</v>
      </c>
    </row>
    <row r="5" spans="1:9" ht="12.75">
      <c r="A5" s="3" t="s">
        <v>0</v>
      </c>
      <c r="B5" s="3" t="s">
        <v>8</v>
      </c>
      <c r="C5" s="3" t="s">
        <v>2</v>
      </c>
      <c r="D5" s="3" t="s">
        <v>55</v>
      </c>
      <c r="E5" s="3" t="s">
        <v>4</v>
      </c>
      <c r="F5" s="3" t="s">
        <v>5</v>
      </c>
      <c r="G5" s="3" t="s">
        <v>6</v>
      </c>
      <c r="H5" s="3" t="s">
        <v>76</v>
      </c>
      <c r="I5" s="5"/>
    </row>
    <row r="6" spans="1:9" ht="13.5" thickBot="1">
      <c r="A6" s="2" t="s">
        <v>1</v>
      </c>
      <c r="B6" s="2" t="s">
        <v>9</v>
      </c>
      <c r="C6" s="2" t="s">
        <v>3</v>
      </c>
      <c r="D6" s="2"/>
      <c r="E6" s="2" t="s">
        <v>11</v>
      </c>
      <c r="F6" s="2" t="s">
        <v>10</v>
      </c>
      <c r="G6" s="2" t="s">
        <v>7</v>
      </c>
      <c r="H6" s="2" t="s">
        <v>7</v>
      </c>
      <c r="I6" s="5"/>
    </row>
    <row r="7" spans="1:8" s="37" customFormat="1" ht="13.5" thickBot="1">
      <c r="A7" s="42">
        <v>37773</v>
      </c>
      <c r="B7" s="45" t="s">
        <v>77</v>
      </c>
      <c r="C7" s="46">
        <v>37803</v>
      </c>
      <c r="D7" s="141">
        <v>6152</v>
      </c>
      <c r="E7" s="97"/>
      <c r="F7" s="47"/>
      <c r="G7" s="44"/>
      <c r="H7" s="98"/>
    </row>
    <row r="8" spans="1:13" s="37" customFormat="1" ht="12.75">
      <c r="A8" s="79">
        <v>37803</v>
      </c>
      <c r="B8" s="89" t="s">
        <v>77</v>
      </c>
      <c r="C8" s="90">
        <v>37834</v>
      </c>
      <c r="D8" s="142">
        <v>6344</v>
      </c>
      <c r="E8" s="116">
        <f aca="true" t="shared" si="0" ref="E8:E16">D8-D7</f>
        <v>192</v>
      </c>
      <c r="F8" s="152">
        <v>10.395</v>
      </c>
      <c r="G8" s="92">
        <f>E8*F8</f>
        <v>1995.84</v>
      </c>
      <c r="H8" s="92">
        <f>G8*$G$4</f>
        <v>1776.2975999999999</v>
      </c>
      <c r="I8" s="88"/>
      <c r="J8" s="37" t="s">
        <v>42</v>
      </c>
      <c r="M8" s="37" t="s">
        <v>43</v>
      </c>
    </row>
    <row r="9" spans="1:13" s="37" customFormat="1" ht="12.75">
      <c r="A9" s="84">
        <v>37834</v>
      </c>
      <c r="B9" s="93" t="s">
        <v>77</v>
      </c>
      <c r="C9" s="94">
        <v>37866</v>
      </c>
      <c r="D9" s="143">
        <v>6665</v>
      </c>
      <c r="E9" s="117">
        <f t="shared" si="0"/>
        <v>321</v>
      </c>
      <c r="F9" s="153">
        <v>10.395</v>
      </c>
      <c r="G9" s="95">
        <f>E9*F9</f>
        <v>3336.795</v>
      </c>
      <c r="H9" s="95">
        <f>G9*$G$4</f>
        <v>2969.74755</v>
      </c>
      <c r="I9" s="88"/>
      <c r="J9" s="96"/>
      <c r="M9" s="37" t="s">
        <v>44</v>
      </c>
    </row>
    <row r="10" spans="1:10" s="37" customFormat="1" ht="12.75">
      <c r="A10" s="84">
        <v>37865</v>
      </c>
      <c r="B10" s="93" t="s">
        <v>77</v>
      </c>
      <c r="C10" s="94">
        <v>37888</v>
      </c>
      <c r="D10" s="143">
        <v>6905</v>
      </c>
      <c r="E10" s="117">
        <f t="shared" si="0"/>
        <v>240</v>
      </c>
      <c r="F10" s="153">
        <v>10.395</v>
      </c>
      <c r="G10" s="95">
        <f>E10*F10</f>
        <v>2494.7999999999997</v>
      </c>
      <c r="H10" s="95">
        <f>G10*$G$4</f>
        <v>2220.372</v>
      </c>
      <c r="I10" s="88"/>
      <c r="J10" s="96"/>
    </row>
    <row r="11" spans="1:10" s="37" customFormat="1" ht="12.75">
      <c r="A11" s="84">
        <v>37895</v>
      </c>
      <c r="B11" s="93" t="s">
        <v>77</v>
      </c>
      <c r="C11" s="94">
        <v>37918</v>
      </c>
      <c r="D11" s="143">
        <v>8016</v>
      </c>
      <c r="E11" s="117">
        <f t="shared" si="0"/>
        <v>1111</v>
      </c>
      <c r="F11" s="153">
        <v>10.395</v>
      </c>
      <c r="G11" s="95">
        <f>E11*F11</f>
        <v>11548.845</v>
      </c>
      <c r="H11" s="95">
        <f>G11*$G$4</f>
        <v>10278.47205</v>
      </c>
      <c r="I11" s="88"/>
      <c r="J11" s="96"/>
    </row>
    <row r="12" spans="1:10" s="37" customFormat="1" ht="12.75">
      <c r="A12" s="84">
        <v>37926</v>
      </c>
      <c r="B12" s="127" t="s">
        <v>77</v>
      </c>
      <c r="C12" s="94">
        <v>37946</v>
      </c>
      <c r="D12" s="143">
        <v>9380.2</v>
      </c>
      <c r="E12" s="117">
        <f t="shared" si="0"/>
        <v>1364.2000000000007</v>
      </c>
      <c r="F12" s="153">
        <v>10.395</v>
      </c>
      <c r="G12" s="95">
        <f>E12*F12</f>
        <v>14180.859000000008</v>
      </c>
      <c r="H12" s="95">
        <f>G12*$G$4</f>
        <v>12620.964510000007</v>
      </c>
      <c r="I12" s="88"/>
      <c r="J12" s="96"/>
    </row>
    <row r="13" spans="1:10" s="173" customFormat="1" ht="12.75">
      <c r="A13" s="168">
        <v>37956</v>
      </c>
      <c r="B13" s="169" t="s">
        <v>77</v>
      </c>
      <c r="C13" s="170">
        <v>37984</v>
      </c>
      <c r="D13" s="171">
        <v>11378.4</v>
      </c>
      <c r="E13" s="178">
        <f t="shared" si="0"/>
        <v>1998.199999999999</v>
      </c>
      <c r="F13" s="154">
        <v>10.395</v>
      </c>
      <c r="G13" s="172">
        <f aca="true" t="shared" si="1" ref="G13:G18">E13*F13</f>
        <v>20771.288999999986</v>
      </c>
      <c r="H13" s="172">
        <f aca="true" t="shared" si="2" ref="H13:H19">G13*$G$4</f>
        <v>18486.447209999988</v>
      </c>
      <c r="I13" s="179"/>
      <c r="J13" s="174"/>
    </row>
    <row r="14" spans="1:10" s="173" customFormat="1" ht="12.75">
      <c r="A14" s="168">
        <v>37987</v>
      </c>
      <c r="B14" s="169" t="s">
        <v>77</v>
      </c>
      <c r="C14" s="170">
        <v>38015</v>
      </c>
      <c r="D14" s="171">
        <v>13484.86</v>
      </c>
      <c r="E14" s="117">
        <f t="shared" si="0"/>
        <v>2106.460000000001</v>
      </c>
      <c r="F14" s="154">
        <v>10.395</v>
      </c>
      <c r="G14" s="172">
        <f t="shared" si="1"/>
        <v>21896.65170000001</v>
      </c>
      <c r="H14" s="172">
        <f t="shared" si="2"/>
        <v>19488.02001300001</v>
      </c>
      <c r="J14" s="174"/>
    </row>
    <row r="15" spans="1:8" s="173" customFormat="1" ht="12.75">
      <c r="A15" s="168">
        <v>38018</v>
      </c>
      <c r="B15" s="169" t="s">
        <v>77</v>
      </c>
      <c r="C15" s="170">
        <v>38042</v>
      </c>
      <c r="D15" s="171">
        <v>15366.57</v>
      </c>
      <c r="E15" s="117">
        <f t="shared" si="0"/>
        <v>1881.7099999999991</v>
      </c>
      <c r="F15" s="154">
        <v>10.395</v>
      </c>
      <c r="G15" s="172">
        <f t="shared" si="1"/>
        <v>19560.37544999999</v>
      </c>
      <c r="H15" s="172">
        <f t="shared" si="2"/>
        <v>17408.73415049999</v>
      </c>
    </row>
    <row r="16" spans="1:8" s="173" customFormat="1" ht="12.75">
      <c r="A16" s="168">
        <v>38047</v>
      </c>
      <c r="B16" s="169" t="s">
        <v>77</v>
      </c>
      <c r="C16" s="170">
        <v>38069</v>
      </c>
      <c r="D16" s="171">
        <v>16910.3</v>
      </c>
      <c r="E16" s="178">
        <f t="shared" si="0"/>
        <v>1543.7299999999996</v>
      </c>
      <c r="F16" s="154">
        <v>10.395</v>
      </c>
      <c r="G16" s="172">
        <f t="shared" si="1"/>
        <v>16047.073349999995</v>
      </c>
      <c r="H16" s="172">
        <f t="shared" si="2"/>
        <v>14281.895281499996</v>
      </c>
    </row>
    <row r="17" spans="1:8" s="173" customFormat="1" ht="12.75">
      <c r="A17" s="168">
        <v>38078</v>
      </c>
      <c r="B17" s="169" t="s">
        <v>77</v>
      </c>
      <c r="C17" s="170">
        <v>38104</v>
      </c>
      <c r="D17" s="171">
        <v>18312.2</v>
      </c>
      <c r="E17" s="178">
        <f>D17-D16</f>
        <v>1401.9000000000015</v>
      </c>
      <c r="F17" s="154">
        <v>10.395</v>
      </c>
      <c r="G17" s="172">
        <f>E17*F17</f>
        <v>14572.750500000015</v>
      </c>
      <c r="H17" s="172">
        <f t="shared" si="2"/>
        <v>12969.747945000014</v>
      </c>
    </row>
    <row r="18" spans="1:8" s="173" customFormat="1" ht="12.75">
      <c r="A18" s="168">
        <v>38108</v>
      </c>
      <c r="B18" s="169" t="s">
        <v>77</v>
      </c>
      <c r="C18" s="170">
        <v>38133</v>
      </c>
      <c r="D18" s="171">
        <v>19114.7</v>
      </c>
      <c r="E18" s="178">
        <f>D18-D17</f>
        <v>802.5</v>
      </c>
      <c r="F18" s="154">
        <v>10.395</v>
      </c>
      <c r="G18" s="172">
        <f t="shared" si="1"/>
        <v>8341.9875</v>
      </c>
      <c r="H18" s="172">
        <f t="shared" si="2"/>
        <v>7424.368874999999</v>
      </c>
    </row>
    <row r="19" spans="1:8" s="173" customFormat="1" ht="12.75">
      <c r="A19" s="168">
        <v>38139</v>
      </c>
      <c r="B19" s="169" t="s">
        <v>77</v>
      </c>
      <c r="C19" s="170">
        <v>38161</v>
      </c>
      <c r="D19" s="171">
        <v>19854.5</v>
      </c>
      <c r="E19" s="178">
        <f>D19-D18</f>
        <v>739.7999999999993</v>
      </c>
      <c r="F19" s="154">
        <v>10.395</v>
      </c>
      <c r="G19" s="172">
        <f>E19*F19</f>
        <v>7690.220999999992</v>
      </c>
      <c r="H19" s="172">
        <f t="shared" si="2"/>
        <v>6844.296689999993</v>
      </c>
    </row>
    <row r="20" spans="1:8" s="173" customFormat="1" ht="12.75">
      <c r="A20" s="168">
        <v>38189</v>
      </c>
      <c r="B20" s="169" t="s">
        <v>77</v>
      </c>
      <c r="C20" s="170">
        <v>38195</v>
      </c>
      <c r="D20" s="171">
        <v>20730</v>
      </c>
      <c r="E20" s="178">
        <f aca="true" t="shared" si="3" ref="E20:E31">IF(D20="",0,D20-D19)</f>
        <v>875.5</v>
      </c>
      <c r="F20" s="154">
        <v>11.1890625</v>
      </c>
      <c r="G20" s="172">
        <f>E20*F20</f>
        <v>9796.02421875</v>
      </c>
      <c r="H20" s="172">
        <f>G20*$G$4</f>
        <v>8718.461554687501</v>
      </c>
    </row>
    <row r="21" spans="1:8" s="173" customFormat="1" ht="12.75">
      <c r="A21" s="168">
        <v>38200</v>
      </c>
      <c r="B21" s="169" t="s">
        <v>77</v>
      </c>
      <c r="C21" s="170">
        <v>38229</v>
      </c>
      <c r="D21" s="171">
        <v>21626.5</v>
      </c>
      <c r="E21" s="178">
        <f t="shared" si="3"/>
        <v>896.5</v>
      </c>
      <c r="F21" s="154">
        <v>11.1890625</v>
      </c>
      <c r="G21" s="172">
        <f aca="true" t="shared" si="4" ref="G21:G31">E21*F21</f>
        <v>10030.99453125</v>
      </c>
      <c r="H21" s="172">
        <f aca="true" t="shared" si="5" ref="H21:H31">G21*$G$4</f>
        <v>8927.5851328125</v>
      </c>
    </row>
    <row r="22" spans="1:8" s="173" customFormat="1" ht="12.75">
      <c r="A22" s="168">
        <v>38231</v>
      </c>
      <c r="B22" s="169" t="s">
        <v>77</v>
      </c>
      <c r="C22" s="170">
        <v>38257</v>
      </c>
      <c r="D22" s="171">
        <v>22293.8</v>
      </c>
      <c r="E22" s="178">
        <f t="shared" si="3"/>
        <v>667.2999999999993</v>
      </c>
      <c r="F22" s="154">
        <v>11.1890625</v>
      </c>
      <c r="G22" s="172">
        <f t="shared" si="4"/>
        <v>7466.461406249992</v>
      </c>
      <c r="H22" s="172">
        <f t="shared" si="5"/>
        <v>6645.150651562493</v>
      </c>
    </row>
    <row r="23" spans="1:8" s="173" customFormat="1" ht="12.75">
      <c r="A23" s="168">
        <v>38261</v>
      </c>
      <c r="B23" s="169" t="s">
        <v>77</v>
      </c>
      <c r="C23" s="170">
        <v>38288</v>
      </c>
      <c r="D23" s="171">
        <v>23247.2</v>
      </c>
      <c r="E23" s="178">
        <f t="shared" si="3"/>
        <v>953.4000000000015</v>
      </c>
      <c r="F23" s="154">
        <v>11.1890625</v>
      </c>
      <c r="G23" s="172">
        <f t="shared" si="4"/>
        <v>10667.652187500016</v>
      </c>
      <c r="H23" s="172">
        <f t="shared" si="5"/>
        <v>9494.210446875015</v>
      </c>
    </row>
    <row r="24" spans="1:8" s="173" customFormat="1" ht="12.75">
      <c r="A24" s="168">
        <v>38292</v>
      </c>
      <c r="B24" s="169" t="s">
        <v>77</v>
      </c>
      <c r="C24" s="170">
        <v>38320</v>
      </c>
      <c r="D24" s="171">
        <v>24565.3</v>
      </c>
      <c r="E24" s="178">
        <f t="shared" si="3"/>
        <v>1318.0999999999985</v>
      </c>
      <c r="F24" s="154">
        <v>11.1890625</v>
      </c>
      <c r="G24" s="172">
        <f t="shared" si="4"/>
        <v>14748.303281249984</v>
      </c>
      <c r="H24" s="172">
        <f t="shared" si="5"/>
        <v>13125.989920312486</v>
      </c>
    </row>
    <row r="25" spans="1:8" s="173" customFormat="1" ht="12.75">
      <c r="A25" s="168">
        <v>38322</v>
      </c>
      <c r="B25" s="169" t="s">
        <v>77</v>
      </c>
      <c r="C25" s="170">
        <v>38355</v>
      </c>
      <c r="D25" s="171">
        <v>26710.7</v>
      </c>
      <c r="E25" s="178">
        <f t="shared" si="3"/>
        <v>2145.4000000000015</v>
      </c>
      <c r="F25" s="154">
        <v>11.1890625</v>
      </c>
      <c r="G25" s="172">
        <f t="shared" si="4"/>
        <v>24005.014687500017</v>
      </c>
      <c r="H25" s="172">
        <f t="shared" si="5"/>
        <v>21364.463071875016</v>
      </c>
    </row>
    <row r="26" spans="1:8" s="173" customFormat="1" ht="12.75">
      <c r="A26" s="168">
        <v>38353</v>
      </c>
      <c r="B26" s="169" t="s">
        <v>77</v>
      </c>
      <c r="C26" s="170">
        <v>38383</v>
      </c>
      <c r="D26" s="171">
        <v>28783.6</v>
      </c>
      <c r="E26" s="178">
        <f t="shared" si="3"/>
        <v>2072.899999999998</v>
      </c>
      <c r="F26" s="154">
        <v>11.1890625</v>
      </c>
      <c r="G26" s="172">
        <f t="shared" si="4"/>
        <v>23193.807656249977</v>
      </c>
      <c r="H26" s="172">
        <f t="shared" si="5"/>
        <v>20642.48881406248</v>
      </c>
    </row>
    <row r="27" spans="1:8" s="173" customFormat="1" ht="12.75">
      <c r="A27" s="168">
        <v>38384</v>
      </c>
      <c r="B27" s="169" t="s">
        <v>77</v>
      </c>
      <c r="C27" s="170">
        <v>38411</v>
      </c>
      <c r="D27" s="171">
        <v>30510.4</v>
      </c>
      <c r="E27" s="178">
        <f t="shared" si="3"/>
        <v>1726.800000000003</v>
      </c>
      <c r="F27" s="154">
        <v>11.1890625</v>
      </c>
      <c r="G27" s="172">
        <f t="shared" si="4"/>
        <v>19321.273125000032</v>
      </c>
      <c r="H27" s="172">
        <f t="shared" si="5"/>
        <v>17195.93308125003</v>
      </c>
    </row>
    <row r="28" spans="1:8" s="173" customFormat="1" ht="12.75">
      <c r="A28" s="168">
        <v>38412</v>
      </c>
      <c r="B28" s="169" t="s">
        <v>77</v>
      </c>
      <c r="C28" s="170">
        <v>38433</v>
      </c>
      <c r="D28" s="171">
        <v>31852.9</v>
      </c>
      <c r="E28" s="178">
        <f t="shared" si="3"/>
        <v>1342.5</v>
      </c>
      <c r="F28" s="154">
        <v>11.1890625</v>
      </c>
      <c r="G28" s="172">
        <f t="shared" si="4"/>
        <v>15021.31640625</v>
      </c>
      <c r="H28" s="172">
        <f t="shared" si="5"/>
        <v>13368.9716015625</v>
      </c>
    </row>
    <row r="29" spans="1:8" s="173" customFormat="1" ht="12.75">
      <c r="A29" s="168">
        <v>38443</v>
      </c>
      <c r="B29" s="169" t="s">
        <v>77</v>
      </c>
      <c r="C29" s="170">
        <v>38468</v>
      </c>
      <c r="D29" s="171">
        <v>33183.2</v>
      </c>
      <c r="E29" s="178">
        <f t="shared" si="3"/>
        <v>1330.2999999999956</v>
      </c>
      <c r="F29" s="154">
        <v>11.1890625</v>
      </c>
      <c r="G29" s="172">
        <f t="shared" si="4"/>
        <v>14884.809843749952</v>
      </c>
      <c r="H29" s="172">
        <f t="shared" si="5"/>
        <v>13247.480760937458</v>
      </c>
    </row>
    <row r="30" spans="1:8" s="173" customFormat="1" ht="12.75">
      <c r="A30" s="168">
        <v>38473</v>
      </c>
      <c r="B30" s="169" t="s">
        <v>77</v>
      </c>
      <c r="C30" s="170">
        <v>38498</v>
      </c>
      <c r="D30" s="171">
        <v>34194.5</v>
      </c>
      <c r="E30" s="178">
        <f t="shared" si="3"/>
        <v>1011.3000000000029</v>
      </c>
      <c r="F30" s="154">
        <v>11.1890625</v>
      </c>
      <c r="G30" s="172">
        <f t="shared" si="4"/>
        <v>11315.498906250034</v>
      </c>
      <c r="H30" s="172">
        <f t="shared" si="5"/>
        <v>10070.79402656253</v>
      </c>
    </row>
    <row r="31" spans="1:8" s="213" customFormat="1" ht="13.5" thickBot="1">
      <c r="A31" s="99">
        <v>38504</v>
      </c>
      <c r="B31" s="93" t="s">
        <v>77</v>
      </c>
      <c r="C31" s="94">
        <v>38530</v>
      </c>
      <c r="D31" s="143">
        <v>34910</v>
      </c>
      <c r="E31" s="285">
        <f t="shared" si="3"/>
        <v>715.5</v>
      </c>
      <c r="F31" s="286">
        <v>11.1890625</v>
      </c>
      <c r="G31" s="98">
        <f t="shared" si="4"/>
        <v>8005.77421875</v>
      </c>
      <c r="H31" s="98">
        <f t="shared" si="5"/>
        <v>7125.1390546875</v>
      </c>
    </row>
    <row r="32" spans="1:13" s="37" customFormat="1" ht="12.75">
      <c r="A32" s="79">
        <v>38534</v>
      </c>
      <c r="B32" s="89" t="s">
        <v>77</v>
      </c>
      <c r="C32" s="90">
        <v>38561</v>
      </c>
      <c r="D32" s="142">
        <v>35685.3</v>
      </c>
      <c r="E32" s="116">
        <f>IF(D32="","",D32-D31)</f>
        <v>775.3000000000029</v>
      </c>
      <c r="F32" s="301">
        <v>11.918156249999997</v>
      </c>
      <c r="G32" s="92">
        <f>IF(E32="","",E32*F32)</f>
        <v>9240.146540625032</v>
      </c>
      <c r="H32" s="92">
        <f>IF(E32="","",G32*$G$4)</f>
        <v>8223.730421156279</v>
      </c>
      <c r="I32" s="88"/>
      <c r="J32" s="37" t="s">
        <v>42</v>
      </c>
      <c r="M32" s="37" t="s">
        <v>43</v>
      </c>
    </row>
    <row r="33" spans="1:13" s="37" customFormat="1" ht="12.75">
      <c r="A33" s="84">
        <v>38565</v>
      </c>
      <c r="B33" s="93" t="s">
        <v>77</v>
      </c>
      <c r="C33" s="94">
        <v>38593</v>
      </c>
      <c r="D33" s="143">
        <v>36589.4</v>
      </c>
      <c r="E33" s="117">
        <f>IF(D33="","",D33-D32)</f>
        <v>904.0999999999985</v>
      </c>
      <c r="F33" s="154">
        <v>11.918156249999997</v>
      </c>
      <c r="G33" s="95">
        <f aca="true" t="shared" si="6" ref="G33:G43">IF(E33="","",E33*F33)</f>
        <v>10775.20506562498</v>
      </c>
      <c r="H33" s="95">
        <f aca="true" t="shared" si="7" ref="H33:H43">IF(E33="","",G33*$G$4)</f>
        <v>9589.932508406231</v>
      </c>
      <c r="I33" s="88"/>
      <c r="J33" s="96"/>
      <c r="M33" s="37" t="s">
        <v>44</v>
      </c>
    </row>
    <row r="34" spans="1:10" s="37" customFormat="1" ht="12.75">
      <c r="A34" s="84">
        <v>38596</v>
      </c>
      <c r="B34" s="93" t="s">
        <v>77</v>
      </c>
      <c r="C34" s="94">
        <v>38623</v>
      </c>
      <c r="D34" s="143">
        <v>37491.72</v>
      </c>
      <c r="E34" s="117">
        <f>IF(D34="","",D34-D33)</f>
        <v>902.3199999999997</v>
      </c>
      <c r="F34" s="154">
        <v>11.918156249999997</v>
      </c>
      <c r="G34" s="95">
        <f t="shared" si="6"/>
        <v>10753.990747499995</v>
      </c>
      <c r="H34" s="95">
        <f t="shared" si="7"/>
        <v>9571.051765274995</v>
      </c>
      <c r="I34" s="88"/>
      <c r="J34" s="96"/>
    </row>
    <row r="35" spans="1:10" s="37" customFormat="1" ht="12.75">
      <c r="A35" s="84">
        <v>38626</v>
      </c>
      <c r="B35" s="93" t="s">
        <v>77</v>
      </c>
      <c r="C35" s="94">
        <v>38652</v>
      </c>
      <c r="D35" s="143">
        <v>38222.4</v>
      </c>
      <c r="E35" s="117">
        <f aca="true" t="shared" si="8" ref="E35:E43">IF(D35="","",D35-D34)</f>
        <v>730.6800000000003</v>
      </c>
      <c r="F35" s="154">
        <v>11.918156249999997</v>
      </c>
      <c r="G35" s="95">
        <f t="shared" si="6"/>
        <v>8708.358408750002</v>
      </c>
      <c r="H35" s="95">
        <f t="shared" si="7"/>
        <v>7750.438983787502</v>
      </c>
      <c r="I35" s="88"/>
      <c r="J35" s="96"/>
    </row>
    <row r="36" spans="1:10" s="37" customFormat="1" ht="12.75">
      <c r="A36" s="84">
        <v>38657</v>
      </c>
      <c r="B36" s="93" t="s">
        <v>77</v>
      </c>
      <c r="C36" s="94">
        <v>38679</v>
      </c>
      <c r="D36" s="143">
        <v>39085.2</v>
      </c>
      <c r="E36" s="117">
        <f t="shared" si="8"/>
        <v>862.7999999999956</v>
      </c>
      <c r="F36" s="154">
        <v>11.918156249999997</v>
      </c>
      <c r="G36" s="95">
        <f t="shared" si="6"/>
        <v>10282.985212499945</v>
      </c>
      <c r="H36" s="95">
        <f t="shared" si="7"/>
        <v>9151.856839124952</v>
      </c>
      <c r="I36" s="88"/>
      <c r="J36" s="96"/>
    </row>
    <row r="37" spans="1:10" s="37" customFormat="1" ht="12.75">
      <c r="A37" s="84">
        <v>38687</v>
      </c>
      <c r="B37" s="93" t="s">
        <v>77</v>
      </c>
      <c r="C37" s="94">
        <v>38701</v>
      </c>
      <c r="D37" s="143">
        <v>40189</v>
      </c>
      <c r="E37" s="117">
        <f t="shared" si="8"/>
        <v>1103.800000000003</v>
      </c>
      <c r="F37" s="154">
        <v>11.918156249999997</v>
      </c>
      <c r="G37" s="95">
        <f t="shared" si="6"/>
        <v>13155.260868750032</v>
      </c>
      <c r="H37" s="95">
        <f t="shared" si="7"/>
        <v>11708.18217318753</v>
      </c>
      <c r="I37" s="88"/>
      <c r="J37" s="96"/>
    </row>
    <row r="38" spans="1:10" s="37" customFormat="1" ht="12.75">
      <c r="A38" s="84">
        <v>38718</v>
      </c>
      <c r="B38" s="93" t="s">
        <v>77</v>
      </c>
      <c r="C38" s="94">
        <v>38736</v>
      </c>
      <c r="D38" s="143">
        <v>41888.3</v>
      </c>
      <c r="E38" s="117">
        <f t="shared" si="8"/>
        <v>1699.300000000003</v>
      </c>
      <c r="F38" s="154">
        <v>11.918156249999997</v>
      </c>
      <c r="G38" s="95">
        <f t="shared" si="6"/>
        <v>20252.52291562503</v>
      </c>
      <c r="H38" s="95">
        <f t="shared" si="7"/>
        <v>18024.74539490628</v>
      </c>
      <c r="I38" s="88"/>
      <c r="J38" s="96"/>
    </row>
    <row r="39" spans="1:10" s="37" customFormat="1" ht="12.75">
      <c r="A39" s="84">
        <v>38749</v>
      </c>
      <c r="B39" s="93" t="s">
        <v>77</v>
      </c>
      <c r="C39" s="94">
        <v>38764</v>
      </c>
      <c r="D39" s="143">
        <v>43263.9</v>
      </c>
      <c r="E39" s="117">
        <f t="shared" si="8"/>
        <v>1375.5999999999985</v>
      </c>
      <c r="F39" s="154">
        <v>11.918156249999997</v>
      </c>
      <c r="G39" s="95">
        <f t="shared" si="6"/>
        <v>16394.61573749998</v>
      </c>
      <c r="H39" s="95">
        <f t="shared" si="7"/>
        <v>14591.208006374982</v>
      </c>
      <c r="I39" s="88"/>
      <c r="J39" s="96"/>
    </row>
    <row r="40" spans="1:10" s="37" customFormat="1" ht="12.75">
      <c r="A40" s="84">
        <v>38777</v>
      </c>
      <c r="B40" s="93" t="s">
        <v>77</v>
      </c>
      <c r="C40" s="94">
        <v>38791</v>
      </c>
      <c r="D40" s="143">
        <v>44733.7</v>
      </c>
      <c r="E40" s="117">
        <f t="shared" si="8"/>
        <v>1469.7999999999956</v>
      </c>
      <c r="F40" s="154">
        <v>11.918156249999997</v>
      </c>
      <c r="G40" s="95">
        <f t="shared" si="6"/>
        <v>17517.306056249945</v>
      </c>
      <c r="H40" s="95">
        <f t="shared" si="7"/>
        <v>15590.40239006245</v>
      </c>
      <c r="I40" s="88"/>
      <c r="J40" s="96"/>
    </row>
    <row r="41" spans="1:10" s="37" customFormat="1" ht="12.75">
      <c r="A41" s="84">
        <v>38808</v>
      </c>
      <c r="B41" s="93" t="s">
        <v>77</v>
      </c>
      <c r="C41" s="94">
        <v>38824</v>
      </c>
      <c r="D41" s="143">
        <v>46083.1</v>
      </c>
      <c r="E41" s="117">
        <f t="shared" si="8"/>
        <v>1349.4000000000015</v>
      </c>
      <c r="F41" s="154">
        <v>11.918156249999997</v>
      </c>
      <c r="G41" s="95">
        <f t="shared" si="6"/>
        <v>16082.360043750014</v>
      </c>
      <c r="H41" s="95">
        <f t="shared" si="7"/>
        <v>14313.300438937513</v>
      </c>
      <c r="I41" s="88"/>
      <c r="J41" s="96"/>
    </row>
    <row r="42" spans="1:10" s="37" customFormat="1" ht="12.75">
      <c r="A42" s="84">
        <v>38838</v>
      </c>
      <c r="B42" s="93" t="s">
        <v>77</v>
      </c>
      <c r="C42" s="94">
        <v>38856</v>
      </c>
      <c r="D42" s="143">
        <v>46981.4</v>
      </c>
      <c r="E42" s="117">
        <f t="shared" si="8"/>
        <v>898.3000000000029</v>
      </c>
      <c r="F42" s="154">
        <v>11.918156249999997</v>
      </c>
      <c r="G42" s="95">
        <f t="shared" si="6"/>
        <v>10706.079759375032</v>
      </c>
      <c r="H42" s="95">
        <f t="shared" si="7"/>
        <v>9528.410985843779</v>
      </c>
      <c r="I42" s="88"/>
      <c r="J42" s="96"/>
    </row>
    <row r="43" spans="1:8" s="37" customFormat="1" ht="13.5" thickBot="1">
      <c r="A43" s="42">
        <v>38869</v>
      </c>
      <c r="B43" s="41" t="s">
        <v>77</v>
      </c>
      <c r="C43" s="241">
        <v>38882</v>
      </c>
      <c r="D43" s="302">
        <v>47728.6</v>
      </c>
      <c r="E43" s="141">
        <f t="shared" si="8"/>
        <v>747.1999999999971</v>
      </c>
      <c r="F43" s="47">
        <v>11.918156249999997</v>
      </c>
      <c r="G43" s="271">
        <f t="shared" si="6"/>
        <v>8905.246349999963</v>
      </c>
      <c r="H43" s="271">
        <f t="shared" si="7"/>
        <v>7925.669251499968</v>
      </c>
    </row>
    <row r="44" spans="1:13" s="37" customFormat="1" ht="12.75">
      <c r="A44" s="79">
        <v>38899</v>
      </c>
      <c r="B44" s="303" t="s">
        <v>77</v>
      </c>
      <c r="C44" s="90">
        <v>38915</v>
      </c>
      <c r="D44" s="142">
        <v>48504.01</v>
      </c>
      <c r="E44" s="304">
        <f aca="true" t="shared" si="9" ref="E44:E55">IF(D44="","",D44-D43)</f>
        <v>775.4100000000035</v>
      </c>
      <c r="F44" s="301">
        <v>16.27828125</v>
      </c>
      <c r="G44" s="305">
        <f>IF(E44="","",E44*F44)</f>
        <v>12622.342064062555</v>
      </c>
      <c r="H44" s="305">
        <f>IF(E44="","",G44*$G$4)</f>
        <v>11233.884437015675</v>
      </c>
      <c r="I44" s="88"/>
      <c r="M44" s="37" t="s">
        <v>43</v>
      </c>
    </row>
    <row r="45" spans="1:13" s="37" customFormat="1" ht="12.75">
      <c r="A45" s="84">
        <v>38930</v>
      </c>
      <c r="B45" s="93" t="s">
        <v>77</v>
      </c>
      <c r="C45" s="94">
        <v>38944</v>
      </c>
      <c r="D45" s="143">
        <v>49201.47</v>
      </c>
      <c r="E45" s="117">
        <f t="shared" si="9"/>
        <v>697.4599999999991</v>
      </c>
      <c r="F45" s="154">
        <v>16.27828125</v>
      </c>
      <c r="G45" s="95">
        <f aca="true" t="shared" si="10" ref="G45:G55">IF(E45="","",E45*F45)</f>
        <v>11353.450040624984</v>
      </c>
      <c r="H45" s="95">
        <f aca="true" t="shared" si="11" ref="H45:H55">IF(E45="","",G45*$G$4)</f>
        <v>10104.570536156236</v>
      </c>
      <c r="I45" s="88"/>
      <c r="J45" s="96"/>
      <c r="M45" s="37" t="s">
        <v>44</v>
      </c>
    </row>
    <row r="46" spans="1:10" s="37" customFormat="1" ht="12.75">
      <c r="A46" s="84">
        <v>38961</v>
      </c>
      <c r="B46" s="93" t="s">
        <v>77</v>
      </c>
      <c r="C46" s="94">
        <v>38975</v>
      </c>
      <c r="D46" s="143">
        <v>49945.44</v>
      </c>
      <c r="E46" s="117">
        <f t="shared" si="9"/>
        <v>743.9700000000012</v>
      </c>
      <c r="F46" s="154">
        <v>16.27828125</v>
      </c>
      <c r="G46" s="95">
        <f t="shared" si="10"/>
        <v>12110.552901562518</v>
      </c>
      <c r="H46" s="95">
        <f t="shared" si="11"/>
        <v>10778.392082390641</v>
      </c>
      <c r="I46" s="88"/>
      <c r="J46" s="96"/>
    </row>
    <row r="47" spans="1:10" s="37" customFormat="1" ht="12.75">
      <c r="A47" s="84">
        <v>38991</v>
      </c>
      <c r="B47" s="93" t="s">
        <v>77</v>
      </c>
      <c r="C47" s="94">
        <v>39005</v>
      </c>
      <c r="D47" s="143">
        <v>50536.81</v>
      </c>
      <c r="E47" s="117">
        <f t="shared" si="9"/>
        <v>591.3699999999953</v>
      </c>
      <c r="F47" s="154">
        <v>16.27828125</v>
      </c>
      <c r="G47" s="95">
        <f t="shared" si="10"/>
        <v>9626.487182812423</v>
      </c>
      <c r="H47" s="95">
        <f t="shared" si="11"/>
        <v>8567.573592703056</v>
      </c>
      <c r="I47" s="88"/>
      <c r="J47" s="96"/>
    </row>
    <row r="48" spans="1:10" s="37" customFormat="1" ht="12.75">
      <c r="A48" s="84">
        <v>39022</v>
      </c>
      <c r="B48" s="93" t="s">
        <v>77</v>
      </c>
      <c r="C48" s="94">
        <v>39036</v>
      </c>
      <c r="D48" s="143">
        <v>51654.21</v>
      </c>
      <c r="E48" s="117">
        <f t="shared" si="9"/>
        <v>1117.4000000000015</v>
      </c>
      <c r="F48" s="154">
        <v>16.27828125</v>
      </c>
      <c r="G48" s="95">
        <f t="shared" si="10"/>
        <v>18189.35146875002</v>
      </c>
      <c r="H48" s="95">
        <f t="shared" si="11"/>
        <v>16188.522807187519</v>
      </c>
      <c r="I48" s="88"/>
      <c r="J48" s="96"/>
    </row>
    <row r="49" spans="1:10" s="37" customFormat="1" ht="12.75">
      <c r="A49" s="84">
        <v>39052</v>
      </c>
      <c r="B49" s="93" t="s">
        <v>77</v>
      </c>
      <c r="C49" s="94">
        <v>39066</v>
      </c>
      <c r="D49" s="143">
        <v>53204.67</v>
      </c>
      <c r="E49" s="117">
        <f t="shared" si="9"/>
        <v>1550.4599999999991</v>
      </c>
      <c r="F49" s="154">
        <v>16.27828125</v>
      </c>
      <c r="G49" s="95">
        <f t="shared" si="10"/>
        <v>25238.823946874985</v>
      </c>
      <c r="H49" s="95">
        <f t="shared" si="11"/>
        <v>22462.553312718737</v>
      </c>
      <c r="I49" s="88"/>
      <c r="J49" s="96"/>
    </row>
    <row r="50" spans="1:10" s="37" customFormat="1" ht="12.75">
      <c r="A50" s="84">
        <v>39083</v>
      </c>
      <c r="B50" s="93" t="s">
        <v>77</v>
      </c>
      <c r="C50" s="94">
        <v>39097</v>
      </c>
      <c r="D50" s="143">
        <v>54562.8</v>
      </c>
      <c r="E50" s="117">
        <f t="shared" si="9"/>
        <v>1358.1300000000047</v>
      </c>
      <c r="F50" s="154">
        <v>16.27828125</v>
      </c>
      <c r="G50" s="95">
        <f t="shared" si="10"/>
        <v>22108.022114062576</v>
      </c>
      <c r="H50" s="95">
        <f t="shared" si="11"/>
        <v>19676.139681515695</v>
      </c>
      <c r="I50" s="88"/>
      <c r="J50" s="96"/>
    </row>
    <row r="51" spans="1:10" s="37" customFormat="1" ht="12.75">
      <c r="A51" s="84">
        <v>39114</v>
      </c>
      <c r="B51" s="93" t="s">
        <v>77</v>
      </c>
      <c r="C51" s="94">
        <v>39128</v>
      </c>
      <c r="D51" s="143">
        <v>56703.65</v>
      </c>
      <c r="E51" s="117">
        <f t="shared" si="9"/>
        <v>2140.8499999999985</v>
      </c>
      <c r="F51" s="154">
        <v>16.27828125</v>
      </c>
      <c r="G51" s="95">
        <f t="shared" si="10"/>
        <v>34849.35841406247</v>
      </c>
      <c r="H51" s="95">
        <f t="shared" si="11"/>
        <v>31015.928988515603</v>
      </c>
      <c r="I51" s="88"/>
      <c r="J51" s="96"/>
    </row>
    <row r="52" spans="1:10" s="37" customFormat="1" ht="12.75">
      <c r="A52" s="84">
        <v>39142</v>
      </c>
      <c r="B52" s="93" t="s">
        <v>77</v>
      </c>
      <c r="C52" s="94">
        <v>39156</v>
      </c>
      <c r="D52" s="143">
        <v>58286.69</v>
      </c>
      <c r="E52" s="117">
        <f t="shared" si="9"/>
        <v>1583.0400000000009</v>
      </c>
      <c r="F52" s="154">
        <v>16.27828125</v>
      </c>
      <c r="G52" s="95">
        <f t="shared" si="10"/>
        <v>25769.17035000001</v>
      </c>
      <c r="H52" s="95">
        <f t="shared" si="11"/>
        <v>22934.561611500012</v>
      </c>
      <c r="I52" s="88"/>
      <c r="J52" s="96"/>
    </row>
    <row r="53" spans="1:10" s="37" customFormat="1" ht="12.75">
      <c r="A53" s="84">
        <v>39173</v>
      </c>
      <c r="B53" s="93" t="s">
        <v>77</v>
      </c>
      <c r="C53" s="94">
        <v>39188</v>
      </c>
      <c r="D53" s="143">
        <v>59750.56</v>
      </c>
      <c r="E53" s="117">
        <f t="shared" si="9"/>
        <v>1463.8699999999953</v>
      </c>
      <c r="F53" s="154">
        <v>16.27828125</v>
      </c>
      <c r="G53" s="95">
        <f t="shared" si="10"/>
        <v>23829.287573437425</v>
      </c>
      <c r="H53" s="95">
        <f t="shared" si="11"/>
        <v>21208.06594035931</v>
      </c>
      <c r="I53" s="88"/>
      <c r="J53" s="96"/>
    </row>
    <row r="54" spans="1:10" s="37" customFormat="1" ht="12.75">
      <c r="A54" s="84">
        <v>39203</v>
      </c>
      <c r="B54" s="93" t="s">
        <v>77</v>
      </c>
      <c r="C54" s="94">
        <v>39219</v>
      </c>
      <c r="D54" s="143">
        <v>60669.94</v>
      </c>
      <c r="E54" s="117">
        <f t="shared" si="9"/>
        <v>919.3800000000047</v>
      </c>
      <c r="F54" s="154">
        <v>16.27828125</v>
      </c>
      <c r="G54" s="95">
        <f t="shared" si="10"/>
        <v>14965.926215625075</v>
      </c>
      <c r="H54" s="95">
        <f t="shared" si="11"/>
        <v>13319.674331906317</v>
      </c>
      <c r="I54" s="88"/>
      <c r="J54" s="96"/>
    </row>
    <row r="55" spans="1:9" s="37" customFormat="1" ht="13.5" thickBot="1">
      <c r="A55" s="42">
        <v>39234</v>
      </c>
      <c r="B55" s="41" t="s">
        <v>77</v>
      </c>
      <c r="C55" s="241">
        <v>39246</v>
      </c>
      <c r="D55" s="302">
        <v>61412.47</v>
      </c>
      <c r="E55" s="285">
        <f t="shared" si="9"/>
        <v>742.5299999999988</v>
      </c>
      <c r="F55" s="47">
        <v>16.27828125</v>
      </c>
      <c r="G55" s="271">
        <f t="shared" si="10"/>
        <v>12087.112176562481</v>
      </c>
      <c r="H55" s="271">
        <f t="shared" si="11"/>
        <v>10757.529837140608</v>
      </c>
      <c r="I55" s="329">
        <f>SUM(H44:H55)</f>
        <v>198247.39715910942</v>
      </c>
    </row>
    <row r="56" spans="1:13" s="37" customFormat="1" ht="12.75">
      <c r="A56" s="79">
        <v>39264</v>
      </c>
      <c r="B56" s="303" t="s">
        <v>77</v>
      </c>
      <c r="C56" s="90">
        <v>39280</v>
      </c>
      <c r="D56" s="142">
        <v>62390.3</v>
      </c>
      <c r="E56" s="116">
        <f aca="true" t="shared" si="12" ref="E56:E66">IF(D56="","",D56-D55)</f>
        <v>977.8300000000017</v>
      </c>
      <c r="F56" s="91">
        <v>18.29953125</v>
      </c>
      <c r="G56" s="305">
        <f>IF(E56="","",E56*F56)</f>
        <v>17893.83064218753</v>
      </c>
      <c r="H56" s="305">
        <f>IF(E56="","",G56*$G$4)</f>
        <v>15925.509271546904</v>
      </c>
      <c r="M56" s="37" t="s">
        <v>43</v>
      </c>
    </row>
    <row r="57" spans="1:13" s="37" customFormat="1" ht="12.75">
      <c r="A57" s="84">
        <v>39295</v>
      </c>
      <c r="B57" s="93" t="s">
        <v>77</v>
      </c>
      <c r="C57" s="94">
        <v>39309</v>
      </c>
      <c r="D57" s="143">
        <v>63205.12</v>
      </c>
      <c r="E57" s="117">
        <f t="shared" si="12"/>
        <v>814.8199999999997</v>
      </c>
      <c r="F57" s="77">
        <v>18.29953125</v>
      </c>
      <c r="G57" s="95">
        <f aca="true" t="shared" si="13" ref="G57:G67">IF(E57="","",E57*F57)</f>
        <v>14910.824053124996</v>
      </c>
      <c r="H57" s="95">
        <f aca="true" t="shared" si="14" ref="H57:H67">IF(E57="","",G57*$G$4)</f>
        <v>13270.633407281246</v>
      </c>
      <c r="J57" s="96"/>
      <c r="M57" s="37" t="s">
        <v>44</v>
      </c>
    </row>
    <row r="58" spans="1:10" s="37" customFormat="1" ht="12.75">
      <c r="A58" s="84">
        <v>39326</v>
      </c>
      <c r="B58" s="93" t="s">
        <v>77</v>
      </c>
      <c r="C58" s="94">
        <v>39344</v>
      </c>
      <c r="D58" s="143">
        <v>64167.16</v>
      </c>
      <c r="E58" s="117">
        <f t="shared" si="12"/>
        <v>962.0400000000009</v>
      </c>
      <c r="F58" s="77">
        <v>18.29953125</v>
      </c>
      <c r="G58" s="95">
        <f t="shared" si="13"/>
        <v>17604.881043750018</v>
      </c>
      <c r="H58" s="95">
        <f t="shared" si="14"/>
        <v>15668.344128937517</v>
      </c>
      <c r="J58" s="96"/>
    </row>
    <row r="59" spans="1:10" s="40" customFormat="1" ht="12.75">
      <c r="A59" s="84">
        <v>39356</v>
      </c>
      <c r="B59" s="93" t="s">
        <v>77</v>
      </c>
      <c r="C59" s="94">
        <v>39370</v>
      </c>
      <c r="D59" s="143">
        <v>64876.38</v>
      </c>
      <c r="E59" s="117">
        <f t="shared" si="12"/>
        <v>709.2199999999939</v>
      </c>
      <c r="F59" s="77">
        <v>18.29953125</v>
      </c>
      <c r="G59" s="95">
        <f t="shared" si="13"/>
        <v>12978.393553124888</v>
      </c>
      <c r="H59" s="95">
        <f t="shared" si="14"/>
        <v>11550.77026228115</v>
      </c>
      <c r="I59" s="37"/>
      <c r="J59" s="306"/>
    </row>
    <row r="60" spans="1:10" s="40" customFormat="1" ht="12.75">
      <c r="A60" s="84">
        <v>39387</v>
      </c>
      <c r="B60" s="93" t="s">
        <v>77</v>
      </c>
      <c r="C60" s="94">
        <v>39405</v>
      </c>
      <c r="D60" s="143">
        <v>66050.51</v>
      </c>
      <c r="E60" s="117">
        <f t="shared" si="12"/>
        <v>1174.1299999999974</v>
      </c>
      <c r="F60" s="77">
        <v>18.29953125</v>
      </c>
      <c r="G60" s="95">
        <f t="shared" si="13"/>
        <v>21486.028626562453</v>
      </c>
      <c r="H60" s="95">
        <f t="shared" si="14"/>
        <v>19122.565477640583</v>
      </c>
      <c r="I60" s="37"/>
      <c r="J60" s="306"/>
    </row>
    <row r="61" spans="1:10" s="37" customFormat="1" ht="12.75">
      <c r="A61" s="84">
        <v>39417</v>
      </c>
      <c r="B61" s="93" t="s">
        <v>77</v>
      </c>
      <c r="C61" s="94">
        <v>39430</v>
      </c>
      <c r="D61" s="143">
        <v>67239.33</v>
      </c>
      <c r="E61" s="117">
        <f t="shared" si="12"/>
        <v>1188.820000000007</v>
      </c>
      <c r="F61" s="77">
        <v>18.29953125</v>
      </c>
      <c r="G61" s="95">
        <f t="shared" si="13"/>
        <v>21754.84874062513</v>
      </c>
      <c r="H61" s="95">
        <f t="shared" si="14"/>
        <v>19361.815379156367</v>
      </c>
      <c r="J61" s="96"/>
    </row>
    <row r="62" spans="1:10" s="37" customFormat="1" ht="12.75">
      <c r="A62" s="84">
        <v>39448</v>
      </c>
      <c r="B62" s="93" t="s">
        <v>77</v>
      </c>
      <c r="C62" s="94">
        <v>39461</v>
      </c>
      <c r="D62" s="143">
        <v>68635.39</v>
      </c>
      <c r="E62" s="117">
        <f t="shared" si="12"/>
        <v>1396.0599999999977</v>
      </c>
      <c r="F62" s="77">
        <v>18.29953125</v>
      </c>
      <c r="G62" s="95">
        <f t="shared" si="13"/>
        <v>25547.24359687496</v>
      </c>
      <c r="H62" s="95">
        <f t="shared" si="14"/>
        <v>22737.046801218716</v>
      </c>
      <c r="J62" s="96"/>
    </row>
    <row r="63" spans="1:10" s="37" customFormat="1" ht="12.75">
      <c r="A63" s="84">
        <v>39479</v>
      </c>
      <c r="B63" s="93" t="s">
        <v>77</v>
      </c>
      <c r="C63" s="94">
        <v>39492</v>
      </c>
      <c r="D63" s="143">
        <v>70333.2</v>
      </c>
      <c r="E63" s="117">
        <f t="shared" si="12"/>
        <v>1697.8099999999977</v>
      </c>
      <c r="F63" s="77">
        <v>18.29953125</v>
      </c>
      <c r="G63" s="95">
        <f t="shared" si="13"/>
        <v>31069.127151562458</v>
      </c>
      <c r="H63" s="95">
        <f t="shared" si="14"/>
        <v>27651.523164890586</v>
      </c>
      <c r="J63" s="96"/>
    </row>
    <row r="64" spans="1:10" s="37" customFormat="1" ht="12.75">
      <c r="A64" s="84">
        <v>39508</v>
      </c>
      <c r="B64" s="93" t="s">
        <v>77</v>
      </c>
      <c r="C64" s="94">
        <v>39525</v>
      </c>
      <c r="D64" s="143">
        <v>71883.24</v>
      </c>
      <c r="E64" s="117">
        <f t="shared" si="12"/>
        <v>1550.0400000000081</v>
      </c>
      <c r="F64" s="77">
        <v>18.29953125</v>
      </c>
      <c r="G64" s="95">
        <f t="shared" si="13"/>
        <v>28365.005418750152</v>
      </c>
      <c r="H64" s="95">
        <f t="shared" si="14"/>
        <v>25244.854822687637</v>
      </c>
      <c r="J64" s="96"/>
    </row>
    <row r="65" spans="1:8" s="37" customFormat="1" ht="12.75">
      <c r="A65" s="84">
        <v>39539</v>
      </c>
      <c r="B65" s="93" t="s">
        <v>77</v>
      </c>
      <c r="C65" s="94">
        <v>39553</v>
      </c>
      <c r="D65" s="143">
        <v>72946.8</v>
      </c>
      <c r="E65" s="117">
        <f t="shared" si="12"/>
        <v>1063.5599999999977</v>
      </c>
      <c r="F65" s="77">
        <v>18.29953125</v>
      </c>
      <c r="G65" s="95">
        <f t="shared" si="13"/>
        <v>19462.649456249957</v>
      </c>
      <c r="H65" s="95">
        <f t="shared" si="14"/>
        <v>17321.758016062464</v>
      </c>
    </row>
    <row r="66" spans="1:8" s="37" customFormat="1" ht="12.75">
      <c r="A66" s="84">
        <v>39569</v>
      </c>
      <c r="B66" s="93" t="s">
        <v>77</v>
      </c>
      <c r="C66" s="94">
        <v>39583</v>
      </c>
      <c r="D66" s="143">
        <v>73661.49</v>
      </c>
      <c r="E66" s="117">
        <f t="shared" si="12"/>
        <v>714.6900000000023</v>
      </c>
      <c r="F66" s="77">
        <v>18.29953125</v>
      </c>
      <c r="G66" s="95">
        <f t="shared" si="13"/>
        <v>13078.491989062544</v>
      </c>
      <c r="H66" s="95">
        <f t="shared" si="14"/>
        <v>11639.857870265665</v>
      </c>
    </row>
    <row r="67" spans="1:10" s="40" customFormat="1" ht="13.5" thickBot="1">
      <c r="A67" s="42">
        <v>39600</v>
      </c>
      <c r="B67" s="41" t="s">
        <v>77</v>
      </c>
      <c r="C67" s="241">
        <v>39615</v>
      </c>
      <c r="D67" s="302">
        <v>74374.35</v>
      </c>
      <c r="E67" s="117">
        <f>IF(D67="","",D67-D66)</f>
        <v>712.8600000000006</v>
      </c>
      <c r="F67" s="77">
        <v>18.29953125</v>
      </c>
      <c r="G67" s="271">
        <f t="shared" si="13"/>
        <v>13045.003846875012</v>
      </c>
      <c r="H67" s="271">
        <f t="shared" si="14"/>
        <v>11610.05342371876</v>
      </c>
      <c r="I67" s="329">
        <f>SUM(H56:H67)</f>
        <v>211104.73202568758</v>
      </c>
      <c r="J67" s="37"/>
    </row>
    <row r="68" spans="1:13" s="37" customFormat="1" ht="12.75">
      <c r="A68" s="242">
        <v>39630</v>
      </c>
      <c r="B68" s="287" t="s">
        <v>77</v>
      </c>
      <c r="C68" s="331">
        <v>39645</v>
      </c>
      <c r="D68" s="243">
        <v>74997.92</v>
      </c>
      <c r="E68" s="244">
        <f>IF(D68="","",D68-D67)</f>
        <v>623.5699999999924</v>
      </c>
      <c r="F68" s="288">
        <v>17.5772</v>
      </c>
      <c r="G68" s="289">
        <f>IF(E68="","",E68*F68)</f>
        <v>10960.614603999868</v>
      </c>
      <c r="H68" s="289">
        <f>IF(E68="","",G68*$G$4)</f>
        <v>9754.946997559882</v>
      </c>
      <c r="M68" s="37" t="s">
        <v>43</v>
      </c>
    </row>
    <row r="69" spans="1:13" s="37" customFormat="1" ht="12.75">
      <c r="A69" s="193">
        <v>39661</v>
      </c>
      <c r="B69" s="246" t="s">
        <v>77</v>
      </c>
      <c r="C69" s="199">
        <v>39678</v>
      </c>
      <c r="D69" s="247">
        <v>75623.38</v>
      </c>
      <c r="E69" s="234">
        <f>IF(D69="","",D69-D68)</f>
        <v>625.4600000000064</v>
      </c>
      <c r="F69" s="212">
        <v>17.5772</v>
      </c>
      <c r="G69" s="202">
        <f aca="true" t="shared" si="15" ref="G69:G79">IF(E69="","",E69*F69)</f>
        <v>10993.835512000112</v>
      </c>
      <c r="H69" s="202">
        <f aca="true" t="shared" si="16" ref="H69:H79">IF(E69="","",G69*$G$4)</f>
        <v>9784.5136056801</v>
      </c>
      <c r="M69" s="37" t="s">
        <v>44</v>
      </c>
    </row>
    <row r="70" spans="1:8" s="37" customFormat="1" ht="12.75">
      <c r="A70" s="193">
        <v>39692</v>
      </c>
      <c r="B70" s="246" t="s">
        <v>77</v>
      </c>
      <c r="C70" s="199">
        <v>39706</v>
      </c>
      <c r="D70" s="247">
        <v>76241.25</v>
      </c>
      <c r="E70" s="234">
        <f>IF(D70="","",D70-D69)</f>
        <v>617.8699999999953</v>
      </c>
      <c r="F70" s="212">
        <v>17.5772</v>
      </c>
      <c r="G70" s="202">
        <f t="shared" si="15"/>
        <v>10860.424563999919</v>
      </c>
      <c r="H70" s="202">
        <f t="shared" si="16"/>
        <v>9665.777861959928</v>
      </c>
    </row>
    <row r="71" spans="1:10" s="40" customFormat="1" ht="12.75">
      <c r="A71" s="193">
        <v>39722</v>
      </c>
      <c r="B71" s="246" t="s">
        <v>77</v>
      </c>
      <c r="C71" s="346">
        <v>39736</v>
      </c>
      <c r="D71" s="247">
        <v>77065.73</v>
      </c>
      <c r="E71" s="234">
        <f aca="true" t="shared" si="17" ref="E71:E79">IF(D71="","",D71-D70)</f>
        <v>824.4799999999959</v>
      </c>
      <c r="F71" s="347">
        <v>17.5772</v>
      </c>
      <c r="G71" s="202">
        <f t="shared" si="15"/>
        <v>14492.049855999929</v>
      </c>
      <c r="H71" s="202">
        <f t="shared" si="16"/>
        <v>12897.924371839938</v>
      </c>
      <c r="I71" s="37"/>
      <c r="J71" s="306"/>
    </row>
    <row r="72" spans="1:10" s="40" customFormat="1" ht="12.75">
      <c r="A72" s="193">
        <v>39753</v>
      </c>
      <c r="B72" s="246" t="s">
        <v>77</v>
      </c>
      <c r="C72" s="346">
        <v>39770</v>
      </c>
      <c r="D72" s="247">
        <v>78218.15</v>
      </c>
      <c r="E72" s="234">
        <f t="shared" si="17"/>
        <v>1152.4199999999983</v>
      </c>
      <c r="F72" s="347">
        <v>17.5772</v>
      </c>
      <c r="G72" s="202">
        <f t="shared" si="15"/>
        <v>20256.316823999972</v>
      </c>
      <c r="H72" s="202">
        <f t="shared" si="16"/>
        <v>18028.121973359976</v>
      </c>
      <c r="I72" s="37"/>
      <c r="J72" s="306"/>
    </row>
    <row r="73" spans="1:10" s="40" customFormat="1" ht="12.75">
      <c r="A73" s="193">
        <v>39783</v>
      </c>
      <c r="B73" s="246" t="s">
        <v>77</v>
      </c>
      <c r="C73" s="346">
        <v>39797</v>
      </c>
      <c r="D73" s="247">
        <v>79504.19</v>
      </c>
      <c r="E73" s="234">
        <f t="shared" si="17"/>
        <v>1286.0400000000081</v>
      </c>
      <c r="F73" s="347">
        <v>17.5772</v>
      </c>
      <c r="G73" s="202">
        <f t="shared" si="15"/>
        <v>22604.982288000145</v>
      </c>
      <c r="H73" s="202">
        <f t="shared" si="16"/>
        <v>20118.43423632013</v>
      </c>
      <c r="I73" s="37"/>
      <c r="J73" s="306"/>
    </row>
    <row r="74" spans="1:10" s="40" customFormat="1" ht="12.75">
      <c r="A74" s="193">
        <v>39814</v>
      </c>
      <c r="B74" s="246" t="s">
        <v>77</v>
      </c>
      <c r="C74" s="346">
        <v>39829</v>
      </c>
      <c r="D74" s="247">
        <v>81255.55</v>
      </c>
      <c r="E74" s="234">
        <f t="shared" si="17"/>
        <v>1751.3600000000006</v>
      </c>
      <c r="F74" s="347">
        <v>17.5772</v>
      </c>
      <c r="G74" s="202">
        <f t="shared" si="15"/>
        <v>30784.004992000013</v>
      </c>
      <c r="H74" s="202">
        <f t="shared" si="16"/>
        <v>27397.764442880012</v>
      </c>
      <c r="I74" s="37"/>
      <c r="J74" s="306"/>
    </row>
    <row r="75" spans="1:10" s="40" customFormat="1" ht="12.75">
      <c r="A75" s="193">
        <v>39845</v>
      </c>
      <c r="B75" s="246" t="s">
        <v>77</v>
      </c>
      <c r="C75" s="346">
        <v>39861</v>
      </c>
      <c r="D75" s="247">
        <v>83006.56</v>
      </c>
      <c r="E75" s="234">
        <f t="shared" si="17"/>
        <v>1751.0099999999948</v>
      </c>
      <c r="F75" s="347">
        <v>17.5772</v>
      </c>
      <c r="G75" s="202">
        <f t="shared" si="15"/>
        <v>30777.85297199991</v>
      </c>
      <c r="H75" s="202">
        <f t="shared" si="16"/>
        <v>27392.28914507992</v>
      </c>
      <c r="I75" s="37"/>
      <c r="J75" s="306"/>
    </row>
    <row r="76" spans="1:10" s="40" customFormat="1" ht="12.75">
      <c r="A76" s="193">
        <v>39873</v>
      </c>
      <c r="B76" s="246" t="s">
        <v>77</v>
      </c>
      <c r="C76" s="346">
        <v>39889</v>
      </c>
      <c r="D76" s="247">
        <v>84437.35</v>
      </c>
      <c r="E76" s="234">
        <f t="shared" si="17"/>
        <v>1430.7900000000081</v>
      </c>
      <c r="F76" s="347">
        <v>17.5772</v>
      </c>
      <c r="G76" s="202">
        <f t="shared" si="15"/>
        <v>25149.281988000144</v>
      </c>
      <c r="H76" s="202">
        <f t="shared" si="16"/>
        <v>22382.86096932013</v>
      </c>
      <c r="I76" s="37"/>
      <c r="J76" s="306"/>
    </row>
    <row r="77" spans="1:10" s="40" customFormat="1" ht="12.75">
      <c r="A77" s="193">
        <v>39904</v>
      </c>
      <c r="B77" s="246" t="s">
        <v>77</v>
      </c>
      <c r="C77" s="346">
        <v>39923</v>
      </c>
      <c r="D77" s="349">
        <v>85621.85</v>
      </c>
      <c r="E77" s="234">
        <f t="shared" si="17"/>
        <v>1184.5</v>
      </c>
      <c r="F77" s="347">
        <v>17.5772</v>
      </c>
      <c r="G77" s="202">
        <f t="shared" si="15"/>
        <v>20820.1934</v>
      </c>
      <c r="H77" s="202">
        <f t="shared" si="16"/>
        <v>18529.972126</v>
      </c>
      <c r="I77" s="37"/>
      <c r="J77" s="306"/>
    </row>
    <row r="78" spans="1:10" s="40" customFormat="1" ht="12.75">
      <c r="A78" s="193">
        <v>39934</v>
      </c>
      <c r="B78" s="246" t="s">
        <v>77</v>
      </c>
      <c r="C78" s="346">
        <v>39948</v>
      </c>
      <c r="D78" s="349">
        <v>86252.98</v>
      </c>
      <c r="E78" s="234">
        <f t="shared" si="17"/>
        <v>631.1299999999901</v>
      </c>
      <c r="F78" s="347">
        <v>17.5772</v>
      </c>
      <c r="G78" s="202">
        <f t="shared" si="15"/>
        <v>11093.498235999827</v>
      </c>
      <c r="H78" s="202">
        <f t="shared" si="16"/>
        <v>9873.213430039847</v>
      </c>
      <c r="I78" s="37"/>
      <c r="J78" s="306"/>
    </row>
    <row r="79" spans="1:9" s="40" customFormat="1" ht="13.5" thickBot="1">
      <c r="A79" s="353">
        <v>39965</v>
      </c>
      <c r="B79" s="246" t="s">
        <v>77</v>
      </c>
      <c r="C79" s="346">
        <v>39979</v>
      </c>
      <c r="D79" s="378">
        <v>86939.62</v>
      </c>
      <c r="E79" s="379">
        <f t="shared" si="17"/>
        <v>686.6399999999994</v>
      </c>
      <c r="F79" s="380">
        <v>17.5772</v>
      </c>
      <c r="G79" s="381">
        <f t="shared" si="15"/>
        <v>12069.20860799999</v>
      </c>
      <c r="H79" s="381">
        <f t="shared" si="16"/>
        <v>10741.59566111999</v>
      </c>
      <c r="I79" s="329">
        <f>SUM(H68:H79)</f>
        <v>196567.41482115988</v>
      </c>
    </row>
    <row r="80" spans="1:13" s="37" customFormat="1" ht="12.75">
      <c r="A80" s="242">
        <v>39995</v>
      </c>
      <c r="B80" s="382" t="s">
        <v>77</v>
      </c>
      <c r="C80" s="273">
        <v>40011</v>
      </c>
      <c r="D80" s="385">
        <v>87663.4</v>
      </c>
      <c r="E80" s="244">
        <f aca="true" t="shared" si="18" ref="E80:E103">IF(D80="","",D80-D79)</f>
        <v>723.7799999999988</v>
      </c>
      <c r="F80" s="383">
        <v>16.71140625</v>
      </c>
      <c r="G80" s="245">
        <f>IF(E80="","",E80*F80)</f>
        <v>12095.38161562498</v>
      </c>
      <c r="H80" s="245">
        <f>IF(E80="","",G80*$G$4)</f>
        <v>10764.889637906232</v>
      </c>
      <c r="M80" s="37" t="s">
        <v>43</v>
      </c>
    </row>
    <row r="81" spans="1:13" s="37" customFormat="1" ht="12.75">
      <c r="A81" s="193">
        <v>40026</v>
      </c>
      <c r="B81" s="246" t="s">
        <v>77</v>
      </c>
      <c r="C81" s="346">
        <v>40042</v>
      </c>
      <c r="D81" s="386">
        <v>88382.64</v>
      </c>
      <c r="E81" s="234">
        <f t="shared" si="18"/>
        <v>719.2400000000052</v>
      </c>
      <c r="F81" s="212">
        <v>16.71140625</v>
      </c>
      <c r="G81" s="202">
        <f aca="true" t="shared" si="19" ref="G81:G99">IF(E81="","",E81*F81)</f>
        <v>12019.511831250087</v>
      </c>
      <c r="H81" s="202">
        <f aca="true" t="shared" si="20" ref="H81:H100">IF(E81="","",G81*$G$4)</f>
        <v>10697.365529812578</v>
      </c>
      <c r="M81" s="37" t="s">
        <v>44</v>
      </c>
    </row>
    <row r="82" spans="1:8" s="37" customFormat="1" ht="12.75">
      <c r="A82" s="193">
        <v>40057</v>
      </c>
      <c r="B82" s="246" t="s">
        <v>77</v>
      </c>
      <c r="C82" s="346">
        <v>40071</v>
      </c>
      <c r="D82" s="386">
        <v>88734.64</v>
      </c>
      <c r="E82" s="234">
        <f t="shared" si="18"/>
        <v>352</v>
      </c>
      <c r="F82" s="212">
        <v>16.71140625</v>
      </c>
      <c r="G82" s="202">
        <f t="shared" si="19"/>
        <v>5882.415</v>
      </c>
      <c r="H82" s="202">
        <f t="shared" si="20"/>
        <v>5235.34935</v>
      </c>
    </row>
    <row r="83" spans="1:10" s="40" customFormat="1" ht="12.75">
      <c r="A83" s="193">
        <v>40087</v>
      </c>
      <c r="B83" s="246" t="s">
        <v>77</v>
      </c>
      <c r="C83" s="346">
        <v>40102</v>
      </c>
      <c r="D83" s="386">
        <v>89946.49</v>
      </c>
      <c r="E83" s="234">
        <f t="shared" si="18"/>
        <v>1211.8500000000058</v>
      </c>
      <c r="F83" s="347">
        <v>16.71140625</v>
      </c>
      <c r="G83" s="202">
        <f t="shared" si="19"/>
        <v>20251.7176640626</v>
      </c>
      <c r="H83" s="202">
        <f t="shared" si="20"/>
        <v>18024.02872101571</v>
      </c>
      <c r="I83" s="37"/>
      <c r="J83" s="306"/>
    </row>
    <row r="84" spans="1:10" s="40" customFormat="1" ht="12.75">
      <c r="A84" s="193">
        <v>40118</v>
      </c>
      <c r="B84" s="246" t="s">
        <v>77</v>
      </c>
      <c r="C84" s="346">
        <v>40133</v>
      </c>
      <c r="D84" s="386">
        <v>90903.35</v>
      </c>
      <c r="E84" s="234">
        <f t="shared" si="18"/>
        <v>956.8600000000006</v>
      </c>
      <c r="F84" s="347">
        <v>16.71140625</v>
      </c>
      <c r="G84" s="202">
        <f t="shared" si="19"/>
        <v>15990.47618437501</v>
      </c>
      <c r="H84" s="202">
        <f t="shared" si="20"/>
        <v>14231.523804093758</v>
      </c>
      <c r="I84" s="37"/>
      <c r="J84" s="306"/>
    </row>
    <row r="85" spans="1:10" s="40" customFormat="1" ht="12.75">
      <c r="A85" s="193">
        <v>40148</v>
      </c>
      <c r="B85" s="246" t="s">
        <v>77</v>
      </c>
      <c r="C85" s="346">
        <v>40162</v>
      </c>
      <c r="D85" s="386">
        <v>92216.87</v>
      </c>
      <c r="E85" s="234">
        <f t="shared" si="18"/>
        <v>1313.5199999999895</v>
      </c>
      <c r="F85" s="347">
        <v>16.71140625</v>
      </c>
      <c r="G85" s="202">
        <f t="shared" si="19"/>
        <v>21950.766337499823</v>
      </c>
      <c r="H85" s="202">
        <f t="shared" si="20"/>
        <v>19536.182040374842</v>
      </c>
      <c r="I85" s="37"/>
      <c r="J85" s="306"/>
    </row>
    <row r="86" spans="1:10" s="40" customFormat="1" ht="12.75">
      <c r="A86" s="193">
        <v>40179</v>
      </c>
      <c r="B86" s="246" t="s">
        <v>77</v>
      </c>
      <c r="C86" s="346">
        <v>40193</v>
      </c>
      <c r="D86" s="386">
        <v>93808.1</v>
      </c>
      <c r="E86" s="234">
        <f t="shared" si="18"/>
        <v>1591.2300000000105</v>
      </c>
      <c r="F86" s="347">
        <v>16.71140625</v>
      </c>
      <c r="G86" s="202">
        <f t="shared" si="19"/>
        <v>26591.690967187675</v>
      </c>
      <c r="H86" s="202">
        <f t="shared" si="20"/>
        <v>23666.60496079703</v>
      </c>
      <c r="I86" s="37"/>
      <c r="J86" s="306"/>
    </row>
    <row r="87" spans="1:10" s="40" customFormat="1" ht="12.75">
      <c r="A87" s="193">
        <v>40210</v>
      </c>
      <c r="B87" s="246" t="s">
        <v>77</v>
      </c>
      <c r="C87" s="346">
        <v>40224</v>
      </c>
      <c r="D87" s="386">
        <v>95385.21</v>
      </c>
      <c r="E87" s="234">
        <f t="shared" si="18"/>
        <v>1577.1100000000006</v>
      </c>
      <c r="F87" s="347">
        <v>16.71140625</v>
      </c>
      <c r="G87" s="202">
        <f t="shared" si="19"/>
        <v>26355.725910937508</v>
      </c>
      <c r="H87" s="202">
        <f t="shared" si="20"/>
        <v>23456.596060734384</v>
      </c>
      <c r="I87" s="37"/>
      <c r="J87" s="306"/>
    </row>
    <row r="88" spans="1:10" s="40" customFormat="1" ht="12.75">
      <c r="A88" s="193">
        <v>40238</v>
      </c>
      <c r="B88" s="246" t="s">
        <v>77</v>
      </c>
      <c r="C88" s="346">
        <v>40252</v>
      </c>
      <c r="D88" s="386">
        <v>96646.9</v>
      </c>
      <c r="E88" s="234">
        <f t="shared" si="18"/>
        <v>1261.6899999999878</v>
      </c>
      <c r="F88" s="347">
        <v>16.71140625</v>
      </c>
      <c r="G88" s="202">
        <f t="shared" si="19"/>
        <v>21084.614151562295</v>
      </c>
      <c r="H88" s="202">
        <f t="shared" si="20"/>
        <v>18765.306594890444</v>
      </c>
      <c r="I88" s="37"/>
      <c r="J88" s="306"/>
    </row>
    <row r="89" spans="1:10" s="40" customFormat="1" ht="12.75">
      <c r="A89" s="193">
        <v>40269</v>
      </c>
      <c r="B89" s="246" t="s">
        <v>77</v>
      </c>
      <c r="C89" s="346">
        <v>40284</v>
      </c>
      <c r="D89" s="386">
        <v>97566.11</v>
      </c>
      <c r="E89" s="234">
        <f t="shared" si="18"/>
        <v>919.2100000000064</v>
      </c>
      <c r="F89" s="347">
        <v>16.71140625</v>
      </c>
      <c r="G89" s="202">
        <f t="shared" si="19"/>
        <v>15361.291739062606</v>
      </c>
      <c r="H89" s="202">
        <f t="shared" si="20"/>
        <v>13671.54964776572</v>
      </c>
      <c r="I89" s="37"/>
      <c r="J89" s="306"/>
    </row>
    <row r="90" spans="1:10" s="40" customFormat="1" ht="12.75">
      <c r="A90" s="193">
        <v>40299</v>
      </c>
      <c r="B90" s="246" t="s">
        <v>77</v>
      </c>
      <c r="C90" s="346">
        <v>40312</v>
      </c>
      <c r="D90" s="386">
        <v>98319.63</v>
      </c>
      <c r="E90" s="234">
        <f t="shared" si="18"/>
        <v>753.5200000000041</v>
      </c>
      <c r="F90" s="347">
        <v>16.71140625</v>
      </c>
      <c r="G90" s="202">
        <f t="shared" si="19"/>
        <v>12592.378837500068</v>
      </c>
      <c r="H90" s="202">
        <f t="shared" si="20"/>
        <v>11207.217165375061</v>
      </c>
      <c r="I90" s="37"/>
      <c r="J90" s="306"/>
    </row>
    <row r="91" spans="1:9" s="40" customFormat="1" ht="13.5" thickBot="1">
      <c r="A91" s="350">
        <v>40330</v>
      </c>
      <c r="B91" s="351" t="s">
        <v>77</v>
      </c>
      <c r="C91" s="352">
        <v>40343</v>
      </c>
      <c r="D91" s="414">
        <v>98898.05</v>
      </c>
      <c r="E91" s="483">
        <f t="shared" si="18"/>
        <v>578.4199999999983</v>
      </c>
      <c r="F91" s="384">
        <v>16.71140625</v>
      </c>
      <c r="G91" s="366">
        <f t="shared" si="19"/>
        <v>9666.21160312497</v>
      </c>
      <c r="H91" s="366">
        <f t="shared" si="20"/>
        <v>8602.928326781222</v>
      </c>
      <c r="I91" s="329">
        <f>SUM(H80:H91)</f>
        <v>177859.54183954702</v>
      </c>
    </row>
    <row r="92" spans="1:9" s="40" customFormat="1" ht="12.75">
      <c r="A92" s="242">
        <v>40360</v>
      </c>
      <c r="B92" s="382" t="s">
        <v>77</v>
      </c>
      <c r="C92" s="273">
        <v>40375</v>
      </c>
      <c r="D92" s="385">
        <v>99409.25</v>
      </c>
      <c r="E92" s="244">
        <f t="shared" si="18"/>
        <v>511.1999999999971</v>
      </c>
      <c r="F92" s="383">
        <f>Rates!$D$40</f>
        <v>15.448125</v>
      </c>
      <c r="G92" s="245">
        <f t="shared" si="19"/>
        <v>7897.081499999955</v>
      </c>
      <c r="H92" s="245">
        <f t="shared" si="20"/>
        <v>7028.40253499996</v>
      </c>
      <c r="I92" s="329"/>
    </row>
    <row r="93" spans="1:9" s="40" customFormat="1" ht="12.75">
      <c r="A93" s="193">
        <v>40391</v>
      </c>
      <c r="B93" s="246" t="s">
        <v>77</v>
      </c>
      <c r="C93" s="346">
        <v>40406</v>
      </c>
      <c r="D93" s="386">
        <v>99921.82</v>
      </c>
      <c r="E93" s="234">
        <f t="shared" si="18"/>
        <v>512.570000000007</v>
      </c>
      <c r="F93" s="212">
        <f>Rates!$D$40</f>
        <v>15.448125</v>
      </c>
      <c r="G93" s="202">
        <f t="shared" si="19"/>
        <v>7918.245431250108</v>
      </c>
      <c r="H93" s="202">
        <f t="shared" si="20"/>
        <v>7047.238433812596</v>
      </c>
      <c r="I93" s="329"/>
    </row>
    <row r="94" spans="1:9" s="40" customFormat="1" ht="13.5" thickBot="1">
      <c r="A94" s="353">
        <v>40422</v>
      </c>
      <c r="B94" s="246" t="s">
        <v>77</v>
      </c>
      <c r="C94" s="346">
        <v>40438</v>
      </c>
      <c r="D94" s="386">
        <v>100435.62</v>
      </c>
      <c r="E94" s="367">
        <f t="shared" si="18"/>
        <v>513.7999999999884</v>
      </c>
      <c r="F94" s="453">
        <f>Rates!$D$40</f>
        <v>15.448125</v>
      </c>
      <c r="G94" s="381">
        <f t="shared" si="19"/>
        <v>7937.24662499982</v>
      </c>
      <c r="H94" s="381">
        <f t="shared" si="20"/>
        <v>7064.14949624984</v>
      </c>
      <c r="I94" s="329"/>
    </row>
    <row r="95" spans="1:9" s="40" customFormat="1" ht="12.75">
      <c r="A95" s="242">
        <v>40452</v>
      </c>
      <c r="B95" s="382" t="s">
        <v>77</v>
      </c>
      <c r="C95" s="456">
        <v>40466</v>
      </c>
      <c r="D95" s="457">
        <v>101118.91</v>
      </c>
      <c r="E95" s="244">
        <f t="shared" si="18"/>
        <v>683.2900000000081</v>
      </c>
      <c r="F95" s="458">
        <f>Rates!$D$40</f>
        <v>15.448125</v>
      </c>
      <c r="G95" s="459">
        <f t="shared" si="19"/>
        <v>10555.549331250126</v>
      </c>
      <c r="H95" s="459">
        <f t="shared" si="20"/>
        <v>9394.438904812612</v>
      </c>
      <c r="I95" s="329"/>
    </row>
    <row r="96" spans="1:9" s="40" customFormat="1" ht="12.75">
      <c r="A96" s="193">
        <v>40483</v>
      </c>
      <c r="B96" s="246" t="s">
        <v>77</v>
      </c>
      <c r="C96" s="346">
        <v>40497</v>
      </c>
      <c r="D96" s="386">
        <v>102158.94</v>
      </c>
      <c r="E96" s="234">
        <f t="shared" si="18"/>
        <v>1040.0299999999988</v>
      </c>
      <c r="F96" s="347">
        <f>Rates!$D$40</f>
        <v>15.448125</v>
      </c>
      <c r="G96" s="381">
        <f t="shared" si="19"/>
        <v>16066.513443749982</v>
      </c>
      <c r="H96" s="381">
        <f t="shared" si="20"/>
        <v>14299.196964937484</v>
      </c>
      <c r="I96" s="329"/>
    </row>
    <row r="97" spans="1:9" s="40" customFormat="1" ht="13.5" thickBot="1">
      <c r="A97" s="350">
        <v>40513</v>
      </c>
      <c r="B97" s="351" t="s">
        <v>77</v>
      </c>
      <c r="C97" s="352">
        <v>40526</v>
      </c>
      <c r="D97" s="414">
        <v>103470.19</v>
      </c>
      <c r="E97" s="367">
        <f t="shared" si="18"/>
        <v>1311.25</v>
      </c>
      <c r="F97" s="384">
        <f>Rates!$D$40</f>
        <v>15.448125</v>
      </c>
      <c r="G97" s="366">
        <f t="shared" si="19"/>
        <v>20256.35390625</v>
      </c>
      <c r="H97" s="366">
        <f t="shared" si="20"/>
        <v>18028.1549765625</v>
      </c>
      <c r="I97" s="329"/>
    </row>
    <row r="98" spans="1:9" s="40" customFormat="1" ht="12.75">
      <c r="A98" s="242">
        <v>40544</v>
      </c>
      <c r="B98" s="382" t="s">
        <v>77</v>
      </c>
      <c r="C98" s="456">
        <v>40560</v>
      </c>
      <c r="D98" s="457">
        <v>105115.2</v>
      </c>
      <c r="E98" s="484">
        <f t="shared" si="18"/>
        <v>1645.0099999999948</v>
      </c>
      <c r="F98" s="458">
        <f>Rates!$D$40</f>
        <v>15.448125</v>
      </c>
      <c r="G98" s="245">
        <f t="shared" si="19"/>
        <v>25412.320106249917</v>
      </c>
      <c r="H98" s="245">
        <f t="shared" si="20"/>
        <v>22616.96489456243</v>
      </c>
      <c r="I98" s="329"/>
    </row>
    <row r="99" spans="1:9" s="40" customFormat="1" ht="12.75">
      <c r="A99" s="193">
        <v>40575</v>
      </c>
      <c r="B99" s="246" t="s">
        <v>77</v>
      </c>
      <c r="C99" s="346">
        <v>40588</v>
      </c>
      <c r="D99" s="386">
        <v>106542.5</v>
      </c>
      <c r="E99" s="234">
        <f t="shared" si="18"/>
        <v>1427.300000000003</v>
      </c>
      <c r="F99" s="347">
        <f>Rates!$D$40</f>
        <v>15.448125</v>
      </c>
      <c r="G99" s="202">
        <f t="shared" si="19"/>
        <v>22049.108812500042</v>
      </c>
      <c r="H99" s="202">
        <f t="shared" si="20"/>
        <v>19623.706843125037</v>
      </c>
      <c r="I99" s="329"/>
    </row>
    <row r="100" spans="1:9" s="40" customFormat="1" ht="13.5" thickBot="1">
      <c r="A100" s="350">
        <v>40603</v>
      </c>
      <c r="B100" s="351" t="s">
        <v>77</v>
      </c>
      <c r="C100" s="352">
        <v>40620</v>
      </c>
      <c r="D100" s="414">
        <v>107815.55</v>
      </c>
      <c r="E100" s="234">
        <f t="shared" si="18"/>
        <v>1273.050000000003</v>
      </c>
      <c r="F100" s="384">
        <f>Rates!$D$40</f>
        <v>15.448125</v>
      </c>
      <c r="G100" s="366">
        <f>IF(E100="","",E100*F100)</f>
        <v>19666.235531250044</v>
      </c>
      <c r="H100" s="366">
        <f t="shared" si="20"/>
        <v>17502.94962281254</v>
      </c>
      <c r="I100" s="329"/>
    </row>
    <row r="101" spans="1:9" s="40" customFormat="1" ht="12.75">
      <c r="A101" s="438">
        <v>40634</v>
      </c>
      <c r="B101" s="287" t="s">
        <v>77</v>
      </c>
      <c r="C101" s="454">
        <v>40648</v>
      </c>
      <c r="D101" s="455">
        <v>108615.79</v>
      </c>
      <c r="E101" s="484">
        <f t="shared" si="18"/>
        <v>800.2399999999907</v>
      </c>
      <c r="F101" s="458">
        <f>Rates!$D$40</f>
        <v>15.448125</v>
      </c>
      <c r="G101" s="245">
        <f>IF(E101="","",E101*F101)</f>
        <v>12362.207549999855</v>
      </c>
      <c r="H101" s="245">
        <f>IF(E101="","",G101*$G$4)</f>
        <v>11002.364719499872</v>
      </c>
      <c r="I101" s="329"/>
    </row>
    <row r="102" spans="1:9" s="40" customFormat="1" ht="12.75">
      <c r="A102" s="193">
        <v>40664</v>
      </c>
      <c r="B102" s="246" t="s">
        <v>77</v>
      </c>
      <c r="C102" s="346">
        <v>40679</v>
      </c>
      <c r="D102" s="386">
        <v>109088.7</v>
      </c>
      <c r="E102" s="234">
        <f t="shared" si="18"/>
        <v>472.9100000000035</v>
      </c>
      <c r="F102" s="347">
        <f>Rates!$D$40</f>
        <v>15.448125</v>
      </c>
      <c r="G102" s="202">
        <f>IF(E102="","",E102*F102)</f>
        <v>7305.572793750053</v>
      </c>
      <c r="H102" s="202">
        <f>IF(E102="","",G102*$G$4)</f>
        <v>6501.959786437547</v>
      </c>
      <c r="I102" s="329"/>
    </row>
    <row r="103" spans="1:9" s="40" customFormat="1" ht="13.5" thickBot="1">
      <c r="A103" s="350">
        <v>40695</v>
      </c>
      <c r="B103" s="351" t="s">
        <v>77</v>
      </c>
      <c r="C103" s="352">
        <v>40711</v>
      </c>
      <c r="D103" s="414">
        <v>109321</v>
      </c>
      <c r="E103" s="234">
        <f t="shared" si="18"/>
        <v>232.3000000000029</v>
      </c>
      <c r="F103" s="384">
        <f>Rates!$D$40</f>
        <v>15.448125</v>
      </c>
      <c r="G103" s="366">
        <f>IF(E103="","",E103*F103)</f>
        <v>3588.5994375000446</v>
      </c>
      <c r="H103" s="366">
        <f>IF(E103="","",G103*$G$4)</f>
        <v>3193.8534993750395</v>
      </c>
      <c r="I103" s="329"/>
    </row>
    <row r="104" spans="1:9" ht="12.75">
      <c r="A104" s="28" t="s">
        <v>45</v>
      </c>
      <c r="I104" s="37"/>
    </row>
  </sheetData>
  <sheetProtection/>
  <mergeCells count="3">
    <mergeCell ref="A1:G1"/>
    <mergeCell ref="A2:G2"/>
    <mergeCell ref="A3:G3"/>
  </mergeCells>
  <printOptions horizontalCentered="1"/>
  <pageMargins left="0.75" right="0.75" top="0.65" bottom="0.67" header="0.5" footer="0.5"/>
  <pageSetup fitToHeight="1" fitToWidth="1" horizontalDpi="300" verticalDpi="300" orientation="landscape" scale="60" r:id="rId1"/>
  <headerFooter alignWithMargins="0">
    <oddFooter>&amp;L&amp;D&amp;Rpage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view="pageBreakPreview" zoomScaleSheetLayoutView="100" zoomScalePageLayoutView="0" workbookViewId="0" topLeftCell="A1">
      <pane xSplit="1" ySplit="5" topLeftCell="G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85" sqref="N85:N86"/>
    </sheetView>
  </sheetViews>
  <sheetFormatPr defaultColWidth="9.140625" defaultRowHeight="12.75"/>
  <cols>
    <col min="1" max="1" width="11.140625" style="0" bestFit="1" customWidth="1"/>
    <col min="2" max="2" width="13.28125" style="0" bestFit="1" customWidth="1"/>
    <col min="3" max="3" width="11.00390625" style="0" customWidth="1"/>
    <col min="4" max="4" width="12.00390625" style="0" bestFit="1" customWidth="1"/>
    <col min="5" max="5" width="9.421875" style="0" customWidth="1"/>
    <col min="6" max="6" width="11.00390625" style="0" customWidth="1"/>
    <col min="7" max="7" width="12.00390625" style="0" bestFit="1" customWidth="1"/>
    <col min="8" max="8" width="9.421875" style="0" customWidth="1"/>
    <col min="9" max="9" width="11.00390625" style="0" customWidth="1"/>
    <col min="10" max="10" width="12.00390625" style="0" bestFit="1" customWidth="1"/>
    <col min="11" max="11" width="9.421875" style="0" customWidth="1"/>
    <col min="12" max="12" width="10.7109375" style="0" customWidth="1"/>
    <col min="13" max="13" width="9.421875" style="0" customWidth="1"/>
    <col min="14" max="14" width="12.8515625" style="9" customWidth="1"/>
    <col min="15" max="15" width="16.28125" style="0" bestFit="1" customWidth="1"/>
    <col min="16" max="16" width="16.57421875" style="0" bestFit="1" customWidth="1"/>
    <col min="17" max="17" width="15.421875" style="0" customWidth="1"/>
  </cols>
  <sheetData>
    <row r="1" spans="2:16" ht="18">
      <c r="B1" s="175"/>
      <c r="C1" s="175"/>
      <c r="D1" s="175"/>
      <c r="E1" s="175"/>
      <c r="F1" s="175"/>
      <c r="G1" s="175"/>
      <c r="H1" s="175" t="s">
        <v>73</v>
      </c>
      <c r="I1" s="175"/>
      <c r="J1" s="175"/>
      <c r="K1" s="175"/>
      <c r="L1" s="175"/>
      <c r="M1" s="175"/>
      <c r="N1" s="175"/>
      <c r="O1" s="175"/>
      <c r="P1" s="175"/>
    </row>
    <row r="2" spans="2:16" ht="18.75" thickBot="1">
      <c r="B2" s="176"/>
      <c r="C2" s="176"/>
      <c r="D2" s="176"/>
      <c r="E2" s="176"/>
      <c r="F2" s="176"/>
      <c r="G2" s="176" t="s">
        <v>36</v>
      </c>
      <c r="H2" s="176"/>
      <c r="I2" s="176"/>
      <c r="J2" s="176"/>
      <c r="K2" s="176"/>
      <c r="L2" s="176"/>
      <c r="M2" s="176"/>
      <c r="N2" s="176"/>
      <c r="O2" s="176"/>
      <c r="P2" s="176"/>
    </row>
    <row r="3" spans="3:16" ht="17.25" customHeight="1" thickBot="1">
      <c r="C3" s="497" t="s">
        <v>78</v>
      </c>
      <c r="D3" s="498"/>
      <c r="E3" s="499"/>
      <c r="F3" s="497" t="s">
        <v>81</v>
      </c>
      <c r="G3" s="498"/>
      <c r="H3" s="499"/>
      <c r="I3" s="497" t="s">
        <v>82</v>
      </c>
      <c r="J3" s="498"/>
      <c r="K3" s="499"/>
      <c r="L3" s="73"/>
      <c r="M3" s="73"/>
      <c r="P3" s="72">
        <f>SUMMARY!H4</f>
        <v>0.89</v>
      </c>
    </row>
    <row r="4" spans="1:16" ht="12.75">
      <c r="A4" s="207" t="s">
        <v>0</v>
      </c>
      <c r="B4" s="207" t="s">
        <v>2</v>
      </c>
      <c r="C4" s="207" t="s">
        <v>55</v>
      </c>
      <c r="D4" s="207" t="s">
        <v>79</v>
      </c>
      <c r="E4" s="207" t="s">
        <v>26</v>
      </c>
      <c r="F4" s="207" t="s">
        <v>55</v>
      </c>
      <c r="G4" s="207" t="s">
        <v>79</v>
      </c>
      <c r="H4" s="207" t="s">
        <v>26</v>
      </c>
      <c r="I4" s="207" t="s">
        <v>55</v>
      </c>
      <c r="J4" s="207" t="s">
        <v>79</v>
      </c>
      <c r="K4" s="207" t="s">
        <v>26</v>
      </c>
      <c r="L4" s="207" t="s">
        <v>83</v>
      </c>
      <c r="M4" s="207" t="s">
        <v>83</v>
      </c>
      <c r="N4" s="248" t="s">
        <v>24</v>
      </c>
      <c r="O4" s="207" t="s">
        <v>6</v>
      </c>
      <c r="P4" s="207" t="s">
        <v>76</v>
      </c>
    </row>
    <row r="5" spans="1:16" ht="13.5" thickBot="1">
      <c r="A5" s="208" t="s">
        <v>1</v>
      </c>
      <c r="B5" s="208" t="s">
        <v>3</v>
      </c>
      <c r="C5" s="208" t="s">
        <v>80</v>
      </c>
      <c r="D5" s="208" t="s">
        <v>80</v>
      </c>
      <c r="E5" s="208" t="s">
        <v>54</v>
      </c>
      <c r="F5" s="208" t="s">
        <v>80</v>
      </c>
      <c r="G5" s="208" t="s">
        <v>80</v>
      </c>
      <c r="H5" s="208" t="s">
        <v>54</v>
      </c>
      <c r="I5" s="208" t="s">
        <v>80</v>
      </c>
      <c r="J5" s="208" t="s">
        <v>80</v>
      </c>
      <c r="K5" s="208" t="s">
        <v>54</v>
      </c>
      <c r="L5" s="208" t="s">
        <v>84</v>
      </c>
      <c r="M5" s="208" t="s">
        <v>54</v>
      </c>
      <c r="N5" s="249" t="s">
        <v>27</v>
      </c>
      <c r="O5" s="208" t="s">
        <v>7</v>
      </c>
      <c r="P5" s="208" t="s">
        <v>7</v>
      </c>
    </row>
    <row r="6" spans="1:16" s="37" customFormat="1" ht="13.5" thickBot="1">
      <c r="A6" s="99">
        <v>37773</v>
      </c>
      <c r="B6" s="94">
        <v>37803</v>
      </c>
      <c r="C6" s="100">
        <v>463120</v>
      </c>
      <c r="D6" s="101"/>
      <c r="E6" s="74"/>
      <c r="F6" s="100">
        <v>778050</v>
      </c>
      <c r="G6" s="101"/>
      <c r="H6" s="74"/>
      <c r="I6" s="100"/>
      <c r="J6" s="101"/>
      <c r="K6" s="74"/>
      <c r="L6" s="74"/>
      <c r="M6" s="74"/>
      <c r="N6" s="69"/>
      <c r="O6" s="48"/>
      <c r="P6" s="102"/>
    </row>
    <row r="7" spans="1:16" s="37" customFormat="1" ht="12.75">
      <c r="A7" s="79">
        <v>37803</v>
      </c>
      <c r="B7" s="113">
        <v>37834</v>
      </c>
      <c r="C7" s="82">
        <v>499410</v>
      </c>
      <c r="D7" s="82">
        <f>(C7-C6)</f>
        <v>36290</v>
      </c>
      <c r="E7" s="225">
        <v>96</v>
      </c>
      <c r="F7" s="82">
        <v>831220</v>
      </c>
      <c r="G7" s="107">
        <f>(F7-F6)</f>
        <v>53170</v>
      </c>
      <c r="H7" s="111">
        <v>152</v>
      </c>
      <c r="I7" s="82"/>
      <c r="J7" s="164">
        <f>I7-I6</f>
        <v>0</v>
      </c>
      <c r="K7" s="111"/>
      <c r="L7" s="81">
        <f aca="true" t="shared" si="0" ref="L7:M9">D7+G7+J7</f>
        <v>89460</v>
      </c>
      <c r="M7" s="111">
        <f t="shared" si="0"/>
        <v>248</v>
      </c>
      <c r="N7" s="105">
        <v>0.076</v>
      </c>
      <c r="O7" s="109">
        <f>L7*N7</f>
        <v>6798.96</v>
      </c>
      <c r="P7" s="103">
        <f>O7*$P$3</f>
        <v>6051.0744</v>
      </c>
    </row>
    <row r="8" spans="1:16" s="37" customFormat="1" ht="12.75">
      <c r="A8" s="84">
        <v>37834</v>
      </c>
      <c r="B8" s="114">
        <v>37866</v>
      </c>
      <c r="C8" s="76">
        <v>550380</v>
      </c>
      <c r="D8" s="76">
        <f>(C8-C7)</f>
        <v>50970</v>
      </c>
      <c r="E8" s="226">
        <v>106</v>
      </c>
      <c r="F8" s="76">
        <v>899710</v>
      </c>
      <c r="G8" s="108">
        <f>(F8-F7)</f>
        <v>68490</v>
      </c>
      <c r="H8" s="112">
        <v>200</v>
      </c>
      <c r="I8" s="76"/>
      <c r="J8" s="155">
        <f>I8-I7</f>
        <v>0</v>
      </c>
      <c r="K8" s="112"/>
      <c r="L8" s="86">
        <f t="shared" si="0"/>
        <v>119460</v>
      </c>
      <c r="M8" s="112">
        <f t="shared" si="0"/>
        <v>306</v>
      </c>
      <c r="N8" s="106">
        <v>0.076</v>
      </c>
      <c r="O8" s="110">
        <f>L8*N8</f>
        <v>9078.96</v>
      </c>
      <c r="P8" s="104">
        <f>O8*$P$3</f>
        <v>8080.274399999999</v>
      </c>
    </row>
    <row r="9" spans="1:16" s="37" customFormat="1" ht="12.75">
      <c r="A9" s="84">
        <v>37865</v>
      </c>
      <c r="B9" s="114">
        <v>37888</v>
      </c>
      <c r="C9" s="76">
        <v>591400</v>
      </c>
      <c r="D9" s="76">
        <f>(C9-C8)</f>
        <v>41020</v>
      </c>
      <c r="E9" s="226">
        <v>122</v>
      </c>
      <c r="F9" s="76">
        <v>976300</v>
      </c>
      <c r="G9" s="108">
        <f>(F9-F8)</f>
        <v>76590</v>
      </c>
      <c r="H9" s="112">
        <v>273</v>
      </c>
      <c r="I9" s="76"/>
      <c r="J9" s="155">
        <f>I9-I8</f>
        <v>0</v>
      </c>
      <c r="K9" s="112"/>
      <c r="L9" s="86">
        <f t="shared" si="0"/>
        <v>117610</v>
      </c>
      <c r="M9" s="112">
        <f t="shared" si="0"/>
        <v>395</v>
      </c>
      <c r="N9" s="106">
        <v>0.076</v>
      </c>
      <c r="O9" s="110">
        <f>L9*N9</f>
        <v>8938.36</v>
      </c>
      <c r="P9" s="104">
        <f>O9*$P$3</f>
        <v>7955.1404</v>
      </c>
    </row>
    <row r="10" spans="1:16" s="37" customFormat="1" ht="12.75">
      <c r="A10" s="84">
        <v>37895</v>
      </c>
      <c r="B10" s="114">
        <v>37918</v>
      </c>
      <c r="C10" s="76">
        <v>6476</v>
      </c>
      <c r="D10" s="76">
        <f>(C10-(C9/100))*100</f>
        <v>56200</v>
      </c>
      <c r="E10" s="227">
        <v>120</v>
      </c>
      <c r="F10" s="76">
        <v>10718</v>
      </c>
      <c r="G10" s="86">
        <f>(F10-(F9/100))*100</f>
        <v>95500</v>
      </c>
      <c r="H10" s="148">
        <v>284</v>
      </c>
      <c r="I10" s="112"/>
      <c r="J10" s="155">
        <v>50000</v>
      </c>
      <c r="K10" s="112"/>
      <c r="L10" s="86">
        <f>D10+G10+J10</f>
        <v>201700</v>
      </c>
      <c r="M10" s="112">
        <f>E10+H10+K10</f>
        <v>404</v>
      </c>
      <c r="N10" s="106">
        <v>0.076</v>
      </c>
      <c r="O10" s="110">
        <f>L10*N10</f>
        <v>15329.199999999999</v>
      </c>
      <c r="P10" s="104">
        <f>O10*$P$3</f>
        <v>13642.988</v>
      </c>
    </row>
    <row r="11" spans="1:16" s="37" customFormat="1" ht="12.75">
      <c r="A11" s="84">
        <v>37926</v>
      </c>
      <c r="B11" s="114">
        <v>37946</v>
      </c>
      <c r="C11" s="76">
        <v>6994</v>
      </c>
      <c r="D11" s="76">
        <f aca="true" t="shared" si="1" ref="D11:D17">(C11-C10)*100</f>
        <v>51800</v>
      </c>
      <c r="E11" s="227">
        <v>120</v>
      </c>
      <c r="F11" s="76">
        <v>11589</v>
      </c>
      <c r="G11" s="108">
        <f aca="true" t="shared" si="2" ref="G11:G17">(F11-F10)*100</f>
        <v>87100</v>
      </c>
      <c r="H11" s="148">
        <v>217</v>
      </c>
      <c r="I11" s="112"/>
      <c r="J11" s="155">
        <v>50000</v>
      </c>
      <c r="K11" s="112"/>
      <c r="L11" s="86">
        <f>D11+G11+J11</f>
        <v>188900</v>
      </c>
      <c r="M11" s="112">
        <f>E11+H11+K11</f>
        <v>337</v>
      </c>
      <c r="N11" s="106">
        <v>0.076</v>
      </c>
      <c r="O11" s="110">
        <f>L11*N11</f>
        <v>14356.4</v>
      </c>
      <c r="P11" s="104">
        <f>O11*$P$3</f>
        <v>12777.196</v>
      </c>
    </row>
    <row r="12" spans="1:16" s="37" customFormat="1" ht="12.75">
      <c r="A12" s="84">
        <v>37956</v>
      </c>
      <c r="B12" s="114">
        <v>38350</v>
      </c>
      <c r="C12" s="76">
        <v>7599</v>
      </c>
      <c r="D12" s="76">
        <f t="shared" si="1"/>
        <v>60500</v>
      </c>
      <c r="E12" s="227">
        <v>118.9</v>
      </c>
      <c r="F12" s="76">
        <v>12622</v>
      </c>
      <c r="G12" s="108">
        <f t="shared" si="2"/>
        <v>103300</v>
      </c>
      <c r="H12" s="148">
        <v>212.9</v>
      </c>
      <c r="I12" s="112"/>
      <c r="J12" s="155">
        <v>50000</v>
      </c>
      <c r="K12" s="148"/>
      <c r="L12" s="86">
        <f aca="true" t="shared" si="3" ref="L12:L18">D12+G12+J12</f>
        <v>213800</v>
      </c>
      <c r="M12" s="112">
        <f aca="true" t="shared" si="4" ref="M12:M18">E12+H12+K12</f>
        <v>331.8</v>
      </c>
      <c r="N12" s="177">
        <v>0.076</v>
      </c>
      <c r="O12" s="110">
        <f aca="true" t="shared" si="5" ref="O12:O18">L12*N12</f>
        <v>16248.8</v>
      </c>
      <c r="P12" s="104">
        <f aca="true" t="shared" si="6" ref="P12:P18">O12*$P$3</f>
        <v>14461.431999999999</v>
      </c>
    </row>
    <row r="13" spans="1:16" s="37" customFormat="1" ht="12.75">
      <c r="A13" s="84">
        <v>37987</v>
      </c>
      <c r="B13" s="114">
        <v>38015</v>
      </c>
      <c r="C13" s="76">
        <v>8140</v>
      </c>
      <c r="D13" s="76">
        <f t="shared" si="1"/>
        <v>54100</v>
      </c>
      <c r="E13" s="226">
        <v>114</v>
      </c>
      <c r="F13" s="76">
        <v>13586</v>
      </c>
      <c r="G13" s="108">
        <f t="shared" si="2"/>
        <v>96400</v>
      </c>
      <c r="H13" s="148">
        <v>214.5</v>
      </c>
      <c r="I13" s="112"/>
      <c r="J13" s="155">
        <v>50000</v>
      </c>
      <c r="K13" s="112"/>
      <c r="L13" s="86">
        <f t="shared" si="3"/>
        <v>200500</v>
      </c>
      <c r="M13" s="112">
        <f t="shared" si="4"/>
        <v>328.5</v>
      </c>
      <c r="N13" s="177">
        <v>0.076</v>
      </c>
      <c r="O13" s="110">
        <f t="shared" si="5"/>
        <v>15238</v>
      </c>
      <c r="P13" s="104">
        <f t="shared" si="6"/>
        <v>13561.82</v>
      </c>
    </row>
    <row r="14" spans="1:16" s="37" customFormat="1" ht="12.75">
      <c r="A14" s="84">
        <v>38018</v>
      </c>
      <c r="B14" s="114">
        <v>38042</v>
      </c>
      <c r="C14" s="76">
        <v>8610</v>
      </c>
      <c r="D14" s="76">
        <f t="shared" si="1"/>
        <v>47000</v>
      </c>
      <c r="E14" s="226">
        <v>112.6</v>
      </c>
      <c r="F14" s="76">
        <v>14459</v>
      </c>
      <c r="G14" s="108">
        <f t="shared" si="2"/>
        <v>87300</v>
      </c>
      <c r="H14" s="148">
        <v>202.9</v>
      </c>
      <c r="I14" s="112"/>
      <c r="J14" s="155">
        <v>50000</v>
      </c>
      <c r="K14" s="112"/>
      <c r="L14" s="86">
        <f t="shared" si="3"/>
        <v>184300</v>
      </c>
      <c r="M14" s="112">
        <f t="shared" si="4"/>
        <v>315.5</v>
      </c>
      <c r="N14" s="177">
        <v>0.076</v>
      </c>
      <c r="O14" s="110">
        <f t="shared" si="5"/>
        <v>14006.8</v>
      </c>
      <c r="P14" s="104">
        <f t="shared" si="6"/>
        <v>12466.052</v>
      </c>
    </row>
    <row r="15" spans="1:16" s="37" customFormat="1" ht="12.75">
      <c r="A15" s="84">
        <v>38047</v>
      </c>
      <c r="B15" s="114">
        <v>38069</v>
      </c>
      <c r="C15" s="76">
        <v>9083</v>
      </c>
      <c r="D15" s="76">
        <f t="shared" si="1"/>
        <v>47300</v>
      </c>
      <c r="E15" s="226">
        <v>113.9</v>
      </c>
      <c r="F15" s="76">
        <v>15308</v>
      </c>
      <c r="G15" s="108">
        <f t="shared" si="2"/>
        <v>84900</v>
      </c>
      <c r="H15" s="148">
        <v>198</v>
      </c>
      <c r="I15" s="112"/>
      <c r="J15" s="155">
        <v>50000</v>
      </c>
      <c r="K15" s="112"/>
      <c r="L15" s="86">
        <f t="shared" si="3"/>
        <v>182200</v>
      </c>
      <c r="M15" s="112">
        <f t="shared" si="4"/>
        <v>311.9</v>
      </c>
      <c r="N15" s="177">
        <v>0.076</v>
      </c>
      <c r="O15" s="110">
        <f t="shared" si="5"/>
        <v>13847.199999999999</v>
      </c>
      <c r="P15" s="104">
        <f t="shared" si="6"/>
        <v>12324.008</v>
      </c>
    </row>
    <row r="16" spans="1:16" s="37" customFormat="1" ht="12.75">
      <c r="A16" s="84">
        <v>38078</v>
      </c>
      <c r="B16" s="114">
        <v>38104</v>
      </c>
      <c r="C16" s="76">
        <v>9728</v>
      </c>
      <c r="D16" s="76">
        <f t="shared" si="1"/>
        <v>64500</v>
      </c>
      <c r="E16" s="226">
        <v>117</v>
      </c>
      <c r="F16" s="76">
        <v>16464</v>
      </c>
      <c r="G16" s="108">
        <f t="shared" si="2"/>
        <v>115600</v>
      </c>
      <c r="H16" s="148">
        <v>283.2</v>
      </c>
      <c r="I16" s="112">
        <v>107</v>
      </c>
      <c r="J16" s="155">
        <v>50000</v>
      </c>
      <c r="K16" s="112">
        <v>70.5</v>
      </c>
      <c r="L16" s="86">
        <f>D16+G16+J16</f>
        <v>230100</v>
      </c>
      <c r="M16" s="112">
        <f>E16+H16+K16</f>
        <v>470.7</v>
      </c>
      <c r="N16" s="177">
        <v>0.076</v>
      </c>
      <c r="O16" s="110">
        <f>L16*N16</f>
        <v>17487.6</v>
      </c>
      <c r="P16" s="104">
        <f t="shared" si="6"/>
        <v>15563.963999999998</v>
      </c>
    </row>
    <row r="17" spans="1:16" s="37" customFormat="1" ht="12.75">
      <c r="A17" s="99">
        <v>38108</v>
      </c>
      <c r="B17" s="114">
        <v>38133</v>
      </c>
      <c r="C17" s="76">
        <v>10243</v>
      </c>
      <c r="D17" s="76">
        <f t="shared" si="1"/>
        <v>51500</v>
      </c>
      <c r="E17" s="226">
        <v>113.9</v>
      </c>
      <c r="F17" s="76">
        <v>17444</v>
      </c>
      <c r="G17" s="76">
        <f t="shared" si="2"/>
        <v>98000</v>
      </c>
      <c r="H17" s="148">
        <v>255.3</v>
      </c>
      <c r="I17" s="112">
        <v>258</v>
      </c>
      <c r="J17" s="76">
        <f>(I17-I16)*100</f>
        <v>15100</v>
      </c>
      <c r="K17" s="112">
        <v>71</v>
      </c>
      <c r="L17" s="86">
        <f t="shared" si="3"/>
        <v>164600</v>
      </c>
      <c r="M17" s="112">
        <f t="shared" si="4"/>
        <v>440.20000000000005</v>
      </c>
      <c r="N17" s="177">
        <v>0.076</v>
      </c>
      <c r="O17" s="110">
        <f t="shared" si="5"/>
        <v>12509.6</v>
      </c>
      <c r="P17" s="104">
        <f t="shared" si="6"/>
        <v>11133.544</v>
      </c>
    </row>
    <row r="18" spans="1:16" s="37" customFormat="1" ht="13.5" thickBot="1">
      <c r="A18" s="42">
        <v>38139</v>
      </c>
      <c r="B18" s="186">
        <v>38161</v>
      </c>
      <c r="C18" s="185">
        <v>10727</v>
      </c>
      <c r="D18" s="185">
        <f aca="true" t="shared" si="7" ref="D18:D27">(C18-C17)*100</f>
        <v>48400</v>
      </c>
      <c r="E18" s="228">
        <v>115</v>
      </c>
      <c r="F18" s="185">
        <v>18455</v>
      </c>
      <c r="G18" s="185">
        <f>(F18-F17)*100</f>
        <v>101100</v>
      </c>
      <c r="H18" s="220">
        <v>241.4</v>
      </c>
      <c r="I18" s="221">
        <v>438</v>
      </c>
      <c r="J18" s="185">
        <f>(I18-I17)*100</f>
        <v>18000</v>
      </c>
      <c r="K18" s="221">
        <v>72.9</v>
      </c>
      <c r="L18" s="222">
        <f t="shared" si="3"/>
        <v>167500</v>
      </c>
      <c r="M18" s="221">
        <f t="shared" si="4"/>
        <v>429.29999999999995</v>
      </c>
      <c r="N18" s="223">
        <v>0.076</v>
      </c>
      <c r="O18" s="39">
        <f t="shared" si="5"/>
        <v>12730</v>
      </c>
      <c r="P18" s="224">
        <f t="shared" si="6"/>
        <v>11329.7</v>
      </c>
    </row>
    <row r="19" spans="1:16" s="37" customFormat="1" ht="12.75">
      <c r="A19" s="250">
        <v>38189</v>
      </c>
      <c r="B19" s="251">
        <v>38195</v>
      </c>
      <c r="C19" s="82">
        <v>11282</v>
      </c>
      <c r="D19" s="82">
        <f t="shared" si="7"/>
        <v>55500</v>
      </c>
      <c r="E19" s="252">
        <v>113</v>
      </c>
      <c r="F19" s="82">
        <v>19725</v>
      </c>
      <c r="G19" s="253">
        <f aca="true" t="shared" si="8" ref="G19:G27">(F19-F18)*100</f>
        <v>127000</v>
      </c>
      <c r="H19" s="252">
        <v>242.2</v>
      </c>
      <c r="I19" s="254">
        <v>3374</v>
      </c>
      <c r="J19" s="253">
        <f aca="true" t="shared" si="9" ref="J19:J27">(I19-I18)*100</f>
        <v>293600</v>
      </c>
      <c r="K19" s="254">
        <v>406.5</v>
      </c>
      <c r="L19" s="253">
        <f>D19+G19+J19</f>
        <v>476100</v>
      </c>
      <c r="M19" s="254">
        <f>E19+H19+K19</f>
        <v>761.7</v>
      </c>
      <c r="N19" s="255">
        <v>0.083</v>
      </c>
      <c r="O19" s="149">
        <f>L19*N19</f>
        <v>39516.3</v>
      </c>
      <c r="P19" s="256">
        <f>O19*$P$3</f>
        <v>35169.507000000005</v>
      </c>
    </row>
    <row r="20" spans="1:16" s="37" customFormat="1" ht="12.75">
      <c r="A20" s="84">
        <v>38200</v>
      </c>
      <c r="B20" s="257">
        <v>38229</v>
      </c>
      <c r="C20" s="76">
        <v>11852</v>
      </c>
      <c r="D20" s="76">
        <f t="shared" si="7"/>
        <v>57000</v>
      </c>
      <c r="E20" s="148">
        <v>116</v>
      </c>
      <c r="F20" s="76">
        <v>20981</v>
      </c>
      <c r="G20" s="108">
        <f t="shared" si="8"/>
        <v>125600</v>
      </c>
      <c r="H20" s="148">
        <v>260.1</v>
      </c>
      <c r="I20" s="112">
        <v>4641</v>
      </c>
      <c r="J20" s="108">
        <f t="shared" si="9"/>
        <v>126700</v>
      </c>
      <c r="K20" s="112">
        <v>351.9</v>
      </c>
      <c r="L20" s="108">
        <f aca="true" t="shared" si="10" ref="L20:L30">D20+G20+J20</f>
        <v>309300</v>
      </c>
      <c r="M20" s="112">
        <f aca="true" t="shared" si="11" ref="M20:M30">E20+H20+K20</f>
        <v>728</v>
      </c>
      <c r="N20" s="106">
        <v>0.083</v>
      </c>
      <c r="O20" s="110">
        <f aca="true" t="shared" si="12" ref="O20:O30">L20*N20</f>
        <v>25671.9</v>
      </c>
      <c r="P20" s="104">
        <f aca="true" t="shared" si="13" ref="P20:P30">O20*$P$3</f>
        <v>22847.991</v>
      </c>
    </row>
    <row r="21" spans="1:16" s="37" customFormat="1" ht="12.75">
      <c r="A21" s="84">
        <v>38231</v>
      </c>
      <c r="B21" s="257">
        <v>38257</v>
      </c>
      <c r="C21" s="76">
        <v>12361</v>
      </c>
      <c r="D21" s="76">
        <f t="shared" si="7"/>
        <v>50900</v>
      </c>
      <c r="E21" s="148">
        <v>118.1</v>
      </c>
      <c r="F21" s="76">
        <v>22163</v>
      </c>
      <c r="G21" s="108">
        <f t="shared" si="8"/>
        <v>118200</v>
      </c>
      <c r="H21" s="148">
        <v>301.9</v>
      </c>
      <c r="I21" s="112">
        <v>5683</v>
      </c>
      <c r="J21" s="108">
        <f t="shared" si="9"/>
        <v>104200</v>
      </c>
      <c r="K21" s="112">
        <v>353.6</v>
      </c>
      <c r="L21" s="108">
        <f t="shared" si="10"/>
        <v>273300</v>
      </c>
      <c r="M21" s="112">
        <f t="shared" si="11"/>
        <v>773.6</v>
      </c>
      <c r="N21" s="106">
        <v>0.083</v>
      </c>
      <c r="O21" s="110">
        <f t="shared" si="12"/>
        <v>22683.9</v>
      </c>
      <c r="P21" s="104">
        <f t="shared" si="13"/>
        <v>20188.671000000002</v>
      </c>
    </row>
    <row r="22" spans="1:16" s="192" customFormat="1" ht="12.75">
      <c r="A22" s="84">
        <v>38261</v>
      </c>
      <c r="B22" s="257">
        <v>38288</v>
      </c>
      <c r="C22" s="76">
        <v>12919</v>
      </c>
      <c r="D22" s="76">
        <f t="shared" si="7"/>
        <v>55800</v>
      </c>
      <c r="E22" s="148">
        <v>118.3</v>
      </c>
      <c r="F22" s="76">
        <v>23303</v>
      </c>
      <c r="G22" s="108">
        <f t="shared" si="8"/>
        <v>114000</v>
      </c>
      <c r="H22" s="148">
        <v>298.4</v>
      </c>
      <c r="I22" s="112">
        <v>6472</v>
      </c>
      <c r="J22" s="108">
        <f t="shared" si="9"/>
        <v>78900</v>
      </c>
      <c r="K22" s="112">
        <v>355</v>
      </c>
      <c r="L22" s="108">
        <f t="shared" si="10"/>
        <v>248700</v>
      </c>
      <c r="M22" s="112">
        <f t="shared" si="11"/>
        <v>771.7</v>
      </c>
      <c r="N22" s="177">
        <v>0.083</v>
      </c>
      <c r="O22" s="110">
        <f t="shared" si="12"/>
        <v>20642.100000000002</v>
      </c>
      <c r="P22" s="258">
        <f t="shared" si="13"/>
        <v>18371.469</v>
      </c>
    </row>
    <row r="23" spans="1:16" s="37" customFormat="1" ht="12.75">
      <c r="A23" s="250">
        <v>38292</v>
      </c>
      <c r="B23" s="259">
        <v>38320</v>
      </c>
      <c r="C23" s="260">
        <v>13472</v>
      </c>
      <c r="D23" s="260">
        <f t="shared" si="7"/>
        <v>55300</v>
      </c>
      <c r="E23" s="148">
        <v>112.6</v>
      </c>
      <c r="F23" s="260">
        <v>24312</v>
      </c>
      <c r="G23" s="253">
        <f t="shared" si="8"/>
        <v>100900</v>
      </c>
      <c r="H23" s="261">
        <v>273.5</v>
      </c>
      <c r="I23" s="254">
        <v>7130</v>
      </c>
      <c r="J23" s="253">
        <f t="shared" si="9"/>
        <v>65800</v>
      </c>
      <c r="K23" s="254">
        <v>313.4</v>
      </c>
      <c r="L23" s="253">
        <f t="shared" si="10"/>
        <v>222000</v>
      </c>
      <c r="M23" s="254">
        <f t="shared" si="11"/>
        <v>699.5</v>
      </c>
      <c r="N23" s="177">
        <v>0.083</v>
      </c>
      <c r="O23" s="149">
        <f t="shared" si="12"/>
        <v>18426</v>
      </c>
      <c r="P23" s="256">
        <f t="shared" si="13"/>
        <v>16399.14</v>
      </c>
    </row>
    <row r="24" spans="1:16" s="37" customFormat="1" ht="12.75">
      <c r="A24" s="84">
        <v>38322</v>
      </c>
      <c r="B24" s="257">
        <v>38355</v>
      </c>
      <c r="C24" s="76">
        <v>14051</v>
      </c>
      <c r="D24" s="76">
        <f t="shared" si="7"/>
        <v>57900</v>
      </c>
      <c r="E24" s="112">
        <v>111.8</v>
      </c>
      <c r="F24" s="76">
        <v>25264</v>
      </c>
      <c r="G24" s="108">
        <f t="shared" si="8"/>
        <v>95200</v>
      </c>
      <c r="H24" s="148">
        <v>208.7</v>
      </c>
      <c r="I24" s="112">
        <v>7714</v>
      </c>
      <c r="J24" s="108">
        <f t="shared" si="9"/>
        <v>58400</v>
      </c>
      <c r="K24" s="112">
        <v>160</v>
      </c>
      <c r="L24" s="108">
        <v>211500</v>
      </c>
      <c r="M24" s="112">
        <v>480.5</v>
      </c>
      <c r="N24" s="177">
        <v>0.083</v>
      </c>
      <c r="O24" s="110">
        <v>18717.75</v>
      </c>
      <c r="P24" s="104">
        <v>16658.797500000004</v>
      </c>
    </row>
    <row r="25" spans="1:16" s="37" customFormat="1" ht="12.75">
      <c r="A25" s="84">
        <v>38353</v>
      </c>
      <c r="B25" s="257">
        <v>38383</v>
      </c>
      <c r="C25" s="112">
        <v>14566</v>
      </c>
      <c r="D25" s="112">
        <f t="shared" si="7"/>
        <v>51500</v>
      </c>
      <c r="E25" s="262">
        <v>103.7</v>
      </c>
      <c r="F25" s="76">
        <v>26130</v>
      </c>
      <c r="G25" s="108">
        <f t="shared" si="8"/>
        <v>86600</v>
      </c>
      <c r="H25" s="262">
        <v>189.1</v>
      </c>
      <c r="I25" s="112">
        <v>8249</v>
      </c>
      <c r="J25" s="76">
        <f t="shared" si="9"/>
        <v>53500</v>
      </c>
      <c r="K25" s="262">
        <v>103</v>
      </c>
      <c r="L25" s="108">
        <f t="shared" si="10"/>
        <v>191600</v>
      </c>
      <c r="M25" s="112">
        <f t="shared" si="11"/>
        <v>395.8</v>
      </c>
      <c r="N25" s="177">
        <v>0.083</v>
      </c>
      <c r="O25" s="110">
        <f t="shared" si="12"/>
        <v>15902.800000000001</v>
      </c>
      <c r="P25" s="104">
        <f t="shared" si="13"/>
        <v>14153.492000000002</v>
      </c>
    </row>
    <row r="26" spans="1:16" s="37" customFormat="1" ht="12.75">
      <c r="A26" s="84">
        <v>38384</v>
      </c>
      <c r="B26" s="257">
        <v>38411</v>
      </c>
      <c r="C26" s="112">
        <v>15058</v>
      </c>
      <c r="D26" s="112">
        <f t="shared" si="7"/>
        <v>49200</v>
      </c>
      <c r="E26" s="262">
        <v>112.2</v>
      </c>
      <c r="F26" s="76">
        <v>26973</v>
      </c>
      <c r="G26" s="108">
        <f t="shared" si="8"/>
        <v>84300</v>
      </c>
      <c r="H26" s="262">
        <v>207.3</v>
      </c>
      <c r="I26" s="112">
        <v>8790</v>
      </c>
      <c r="J26" s="76">
        <f t="shared" si="9"/>
        <v>54100</v>
      </c>
      <c r="K26" s="262">
        <v>149</v>
      </c>
      <c r="L26" s="108">
        <f t="shared" si="10"/>
        <v>187600</v>
      </c>
      <c r="M26" s="112">
        <f t="shared" si="11"/>
        <v>468.5</v>
      </c>
      <c r="N26" s="177">
        <v>0.083</v>
      </c>
      <c r="O26" s="110">
        <f t="shared" si="12"/>
        <v>15570.800000000001</v>
      </c>
      <c r="P26" s="104">
        <f t="shared" si="13"/>
        <v>13858.012</v>
      </c>
    </row>
    <row r="27" spans="1:16" s="37" customFormat="1" ht="12.75">
      <c r="A27" s="84">
        <v>38412</v>
      </c>
      <c r="B27" s="257">
        <v>38433</v>
      </c>
      <c r="C27" s="112">
        <v>15432</v>
      </c>
      <c r="D27" s="112">
        <f t="shared" si="7"/>
        <v>37400</v>
      </c>
      <c r="E27" s="112">
        <v>107.9</v>
      </c>
      <c r="F27" s="76">
        <v>27597</v>
      </c>
      <c r="G27" s="108">
        <f t="shared" si="8"/>
        <v>62400</v>
      </c>
      <c r="H27" s="148">
        <v>198.6</v>
      </c>
      <c r="I27" s="112">
        <v>9194</v>
      </c>
      <c r="J27" s="76">
        <f t="shared" si="9"/>
        <v>40400</v>
      </c>
      <c r="K27" s="112">
        <v>134.6</v>
      </c>
      <c r="L27" s="108">
        <f t="shared" si="10"/>
        <v>140200</v>
      </c>
      <c r="M27" s="112">
        <f t="shared" si="11"/>
        <v>441.1</v>
      </c>
      <c r="N27" s="177">
        <v>0.083</v>
      </c>
      <c r="O27" s="110">
        <f t="shared" si="12"/>
        <v>11636.6</v>
      </c>
      <c r="P27" s="104">
        <f t="shared" si="13"/>
        <v>10356.574</v>
      </c>
    </row>
    <row r="28" spans="1:16" s="40" customFormat="1" ht="12.75">
      <c r="A28" s="84">
        <v>38443</v>
      </c>
      <c r="B28" s="114">
        <v>38468</v>
      </c>
      <c r="C28" s="112">
        <v>16054</v>
      </c>
      <c r="D28" s="76">
        <f>IF(C28="",0,(C28-C27)*100)</f>
        <v>62200</v>
      </c>
      <c r="E28" s="263">
        <v>109.1</v>
      </c>
      <c r="F28" s="264">
        <v>28745</v>
      </c>
      <c r="G28" s="76">
        <f>IF(F28="",0,(F28-F27)*100)</f>
        <v>114800</v>
      </c>
      <c r="H28" s="148">
        <v>274</v>
      </c>
      <c r="I28" s="112">
        <v>10035</v>
      </c>
      <c r="J28" s="76">
        <f>IF(I28="",0,(I28-I27)*100)</f>
        <v>84100</v>
      </c>
      <c r="K28" s="112">
        <v>349.6</v>
      </c>
      <c r="L28" s="86">
        <f t="shared" si="10"/>
        <v>261100</v>
      </c>
      <c r="M28" s="112">
        <f t="shared" si="11"/>
        <v>732.7</v>
      </c>
      <c r="N28" s="177">
        <v>0.083</v>
      </c>
      <c r="O28" s="110">
        <f t="shared" si="12"/>
        <v>21671.300000000003</v>
      </c>
      <c r="P28" s="104">
        <f t="shared" si="13"/>
        <v>19287.457000000002</v>
      </c>
    </row>
    <row r="29" spans="1:16" s="40" customFormat="1" ht="12.75">
      <c r="A29" s="84">
        <v>38473</v>
      </c>
      <c r="B29" s="114">
        <v>38498</v>
      </c>
      <c r="C29" s="112">
        <v>16579</v>
      </c>
      <c r="D29" s="76">
        <f>IF(C29="",0,(C29-C28)*100)</f>
        <v>52500</v>
      </c>
      <c r="E29" s="263">
        <v>114.3</v>
      </c>
      <c r="F29" s="264">
        <v>29631</v>
      </c>
      <c r="G29" s="76">
        <f>IF(F29="",0,(F29-F28)*100)</f>
        <v>88600</v>
      </c>
      <c r="H29" s="148">
        <v>241.1</v>
      </c>
      <c r="I29" s="112">
        <v>10758</v>
      </c>
      <c r="J29" s="76">
        <f>IF(I29="",0,(I29-I28)*100)</f>
        <v>72300</v>
      </c>
      <c r="K29" s="112">
        <v>329.7</v>
      </c>
      <c r="L29" s="86">
        <f t="shared" si="10"/>
        <v>213400</v>
      </c>
      <c r="M29" s="112">
        <f t="shared" si="11"/>
        <v>685.0999999999999</v>
      </c>
      <c r="N29" s="177">
        <v>0.083</v>
      </c>
      <c r="O29" s="110">
        <f t="shared" si="12"/>
        <v>17712.2</v>
      </c>
      <c r="P29" s="104">
        <f t="shared" si="13"/>
        <v>15763.858</v>
      </c>
    </row>
    <row r="30" spans="1:16" s="40" customFormat="1" ht="13.5" thickBot="1">
      <c r="A30" s="42">
        <v>38504</v>
      </c>
      <c r="B30" s="265">
        <v>38530</v>
      </c>
      <c r="C30" s="185">
        <v>17164</v>
      </c>
      <c r="D30" s="266">
        <f>IF(C30="",0,(C30-C29)*100)</f>
        <v>58500</v>
      </c>
      <c r="E30" s="221">
        <v>140.1</v>
      </c>
      <c r="F30" s="185">
        <v>30639</v>
      </c>
      <c r="G30" s="266">
        <f>IF(F30="",0,(F30-F29)*100)</f>
        <v>100800</v>
      </c>
      <c r="H30" s="220">
        <v>241.9</v>
      </c>
      <c r="I30" s="112">
        <v>11609</v>
      </c>
      <c r="J30" s="108">
        <f>IF(I30="",0,(I30-I29)*100)</f>
        <v>85100</v>
      </c>
      <c r="K30" s="221">
        <v>333.3</v>
      </c>
      <c r="L30" s="266">
        <f t="shared" si="10"/>
        <v>244400</v>
      </c>
      <c r="M30" s="221">
        <f t="shared" si="11"/>
        <v>715.3</v>
      </c>
      <c r="N30" s="223">
        <v>0.083</v>
      </c>
      <c r="O30" s="39">
        <f t="shared" si="12"/>
        <v>20285.2</v>
      </c>
      <c r="P30" s="224">
        <f t="shared" si="13"/>
        <v>18053.828</v>
      </c>
    </row>
    <row r="31" spans="1:16" s="37" customFormat="1" ht="12.75">
      <c r="A31" s="79">
        <v>38534</v>
      </c>
      <c r="B31" s="113">
        <v>38561</v>
      </c>
      <c r="C31" s="82">
        <v>17757</v>
      </c>
      <c r="D31" s="82">
        <f>IF(C31="","",(C31-C30)*100)</f>
        <v>59300</v>
      </c>
      <c r="E31" s="225">
        <v>139</v>
      </c>
      <c r="F31" s="82">
        <v>31674</v>
      </c>
      <c r="G31" s="82">
        <f>IF(F31="","",(F31-F30)*100)</f>
        <v>103500</v>
      </c>
      <c r="H31" s="111">
        <v>239</v>
      </c>
      <c r="I31" s="82">
        <v>12597</v>
      </c>
      <c r="J31" s="82">
        <f>IF(I31="","",(I31-I30)*100)</f>
        <v>98800</v>
      </c>
      <c r="K31" s="111">
        <v>346</v>
      </c>
      <c r="L31" s="81">
        <f>IF(D31="","",D31+G31+J31)</f>
        <v>261600</v>
      </c>
      <c r="M31" s="82">
        <f>IF(E31="","",E31+H31+K31)</f>
        <v>724</v>
      </c>
      <c r="N31" s="255">
        <v>0.085</v>
      </c>
      <c r="O31" s="109">
        <f>IF(L31="","",L31*N31)</f>
        <v>22236</v>
      </c>
      <c r="P31" s="103">
        <f>IF(O31="","",O31*$P$3)</f>
        <v>19790.04</v>
      </c>
    </row>
    <row r="32" spans="1:16" s="37" customFormat="1" ht="12.75">
      <c r="A32" s="84">
        <v>38565</v>
      </c>
      <c r="B32" s="114">
        <v>38593</v>
      </c>
      <c r="C32" s="76">
        <v>18357</v>
      </c>
      <c r="D32" s="76">
        <f>IF(C32="","",(C32-C31)*100)</f>
        <v>60000</v>
      </c>
      <c r="E32" s="112">
        <v>147</v>
      </c>
      <c r="F32" s="76">
        <v>32889</v>
      </c>
      <c r="G32" s="76">
        <f>IF(F32="","",(F32-F31)*100)</f>
        <v>121500</v>
      </c>
      <c r="H32" s="112">
        <v>268.6</v>
      </c>
      <c r="I32" s="76">
        <v>14093</v>
      </c>
      <c r="J32" s="76">
        <f>IF(I32="","",(I32-I31)*100)</f>
        <v>149600</v>
      </c>
      <c r="K32" s="112">
        <v>347</v>
      </c>
      <c r="L32" s="86">
        <f aca="true" t="shared" si="14" ref="L32:L41">IF(D32="","",D32+G32+J32)</f>
        <v>331100</v>
      </c>
      <c r="M32" s="112">
        <f aca="true" t="shared" si="15" ref="M32:M42">IF(E32="","",E32+H32+K32)</f>
        <v>762.6</v>
      </c>
      <c r="N32" s="106">
        <v>0.085</v>
      </c>
      <c r="O32" s="110">
        <f aca="true" t="shared" si="16" ref="O32:O42">IF(L32="","",L32*N32)</f>
        <v>28143.500000000004</v>
      </c>
      <c r="P32" s="104">
        <f aca="true" t="shared" si="17" ref="P32:P90">IF(O32="","",O32*$P$3)</f>
        <v>25047.715000000004</v>
      </c>
    </row>
    <row r="33" spans="1:16" s="37" customFormat="1" ht="12.75">
      <c r="A33" s="84">
        <v>38596</v>
      </c>
      <c r="B33" s="114">
        <v>38623</v>
      </c>
      <c r="C33" s="76">
        <v>18970</v>
      </c>
      <c r="D33" s="76">
        <f>IF(C33="","",(C33-C32)*100)</f>
        <v>61300</v>
      </c>
      <c r="E33" s="112">
        <v>148.8</v>
      </c>
      <c r="F33" s="76">
        <v>34216</v>
      </c>
      <c r="G33" s="76">
        <f>IF(F33="","",(F33-F32)*100)</f>
        <v>132700</v>
      </c>
      <c r="H33" s="112">
        <v>295.5</v>
      </c>
      <c r="I33" s="76">
        <v>15408</v>
      </c>
      <c r="J33" s="76">
        <f>IF(I33="","",(I33-I32)*100)</f>
        <v>131500</v>
      </c>
      <c r="K33" s="112">
        <v>341.4</v>
      </c>
      <c r="L33" s="86">
        <f t="shared" si="14"/>
        <v>325500</v>
      </c>
      <c r="M33" s="112">
        <f t="shared" si="15"/>
        <v>785.7</v>
      </c>
      <c r="N33" s="106">
        <v>0.085</v>
      </c>
      <c r="O33" s="110">
        <f t="shared" si="16"/>
        <v>27667.500000000004</v>
      </c>
      <c r="P33" s="104">
        <f t="shared" si="17"/>
        <v>24624.075000000004</v>
      </c>
    </row>
    <row r="34" spans="1:16" s="37" customFormat="1" ht="12.75">
      <c r="A34" s="84">
        <v>38626</v>
      </c>
      <c r="B34" s="94">
        <v>38652</v>
      </c>
      <c r="C34" s="76">
        <v>19536</v>
      </c>
      <c r="D34" s="76">
        <f>IF(C34="","",(C34-C33)*100)</f>
        <v>56600</v>
      </c>
      <c r="E34" s="112">
        <v>149</v>
      </c>
      <c r="F34" s="76">
        <v>35204</v>
      </c>
      <c r="G34" s="76">
        <f aca="true" t="shared" si="18" ref="G34:G42">IF(F34="","",(F34-F33)*100)</f>
        <v>98800</v>
      </c>
      <c r="H34" s="112">
        <v>288</v>
      </c>
      <c r="I34" s="112">
        <v>16184</v>
      </c>
      <c r="J34" s="76">
        <f aca="true" t="shared" si="19" ref="J34:J42">IF(I34="","",(I34-I33)*100)</f>
        <v>77600</v>
      </c>
      <c r="K34" s="112">
        <v>332.2</v>
      </c>
      <c r="L34" s="86">
        <f t="shared" si="14"/>
        <v>233000</v>
      </c>
      <c r="M34" s="112">
        <f t="shared" si="15"/>
        <v>769.2</v>
      </c>
      <c r="N34" s="177">
        <v>0.085</v>
      </c>
      <c r="O34" s="110">
        <f t="shared" si="16"/>
        <v>19805</v>
      </c>
      <c r="P34" s="104">
        <f t="shared" si="17"/>
        <v>17626.45</v>
      </c>
    </row>
    <row r="35" spans="1:16" s="37" customFormat="1" ht="12.75">
      <c r="A35" s="84">
        <v>38657</v>
      </c>
      <c r="B35" s="94">
        <v>38679</v>
      </c>
      <c r="C35" s="76">
        <v>20055</v>
      </c>
      <c r="D35" s="76">
        <f aca="true" t="shared" si="20" ref="D35:D42">IF(C35="","",(C35-C34)*100)</f>
        <v>51900</v>
      </c>
      <c r="E35" s="112">
        <v>147.8</v>
      </c>
      <c r="F35" s="76">
        <v>36034</v>
      </c>
      <c r="G35" s="76">
        <f t="shared" si="18"/>
        <v>83000</v>
      </c>
      <c r="H35" s="112">
        <v>276.2</v>
      </c>
      <c r="I35" s="112">
        <v>16752</v>
      </c>
      <c r="J35" s="76">
        <f t="shared" si="19"/>
        <v>56800</v>
      </c>
      <c r="K35" s="112">
        <v>296.4</v>
      </c>
      <c r="L35" s="86">
        <f t="shared" si="14"/>
        <v>191700</v>
      </c>
      <c r="M35" s="112">
        <f t="shared" si="15"/>
        <v>720.4</v>
      </c>
      <c r="N35" s="177">
        <v>0.085</v>
      </c>
      <c r="O35" s="110">
        <f t="shared" si="16"/>
        <v>16294.500000000002</v>
      </c>
      <c r="P35" s="104">
        <f t="shared" si="17"/>
        <v>14502.105000000001</v>
      </c>
    </row>
    <row r="36" spans="1:16" s="37" customFormat="1" ht="12.75">
      <c r="A36" s="84">
        <v>38687</v>
      </c>
      <c r="B36" s="94">
        <v>38701</v>
      </c>
      <c r="C36" s="76">
        <v>20456</v>
      </c>
      <c r="D36" s="76">
        <f t="shared" si="20"/>
        <v>40100</v>
      </c>
      <c r="E36" s="112">
        <v>149.5</v>
      </c>
      <c r="F36" s="76">
        <v>36664</v>
      </c>
      <c r="G36" s="76">
        <f t="shared" si="18"/>
        <v>63000</v>
      </c>
      <c r="H36" s="112">
        <v>207.7</v>
      </c>
      <c r="I36" s="112">
        <v>17144</v>
      </c>
      <c r="J36" s="76">
        <f t="shared" si="19"/>
        <v>39200</v>
      </c>
      <c r="K36" s="112">
        <v>144.3</v>
      </c>
      <c r="L36" s="86">
        <f t="shared" si="14"/>
        <v>142300</v>
      </c>
      <c r="M36" s="112">
        <f t="shared" si="15"/>
        <v>501.5</v>
      </c>
      <c r="N36" s="177">
        <v>0.085</v>
      </c>
      <c r="O36" s="110">
        <f t="shared" si="16"/>
        <v>12095.5</v>
      </c>
      <c r="P36" s="104">
        <f t="shared" si="17"/>
        <v>10764.995</v>
      </c>
    </row>
    <row r="37" spans="1:16" s="37" customFormat="1" ht="12.75">
      <c r="A37" s="84">
        <v>38718</v>
      </c>
      <c r="B37" s="94">
        <v>38736</v>
      </c>
      <c r="C37" s="76">
        <v>21079</v>
      </c>
      <c r="D37" s="76">
        <f t="shared" si="20"/>
        <v>62300</v>
      </c>
      <c r="E37" s="112">
        <v>147.8</v>
      </c>
      <c r="F37" s="76">
        <v>37533</v>
      </c>
      <c r="G37" s="76">
        <f t="shared" si="18"/>
        <v>86900</v>
      </c>
      <c r="H37" s="112">
        <v>207.5</v>
      </c>
      <c r="I37" s="112">
        <v>17711</v>
      </c>
      <c r="J37" s="76">
        <f t="shared" si="19"/>
        <v>56700</v>
      </c>
      <c r="K37" s="112">
        <v>153.8</v>
      </c>
      <c r="L37" s="86">
        <f t="shared" si="14"/>
        <v>205900</v>
      </c>
      <c r="M37" s="112">
        <f t="shared" si="15"/>
        <v>509.1</v>
      </c>
      <c r="N37" s="177">
        <v>0.085</v>
      </c>
      <c r="O37" s="110">
        <f t="shared" si="16"/>
        <v>17501.5</v>
      </c>
      <c r="P37" s="104">
        <f t="shared" si="17"/>
        <v>15576.335000000001</v>
      </c>
    </row>
    <row r="38" spans="1:16" s="37" customFormat="1" ht="12.75">
      <c r="A38" s="84">
        <v>38749</v>
      </c>
      <c r="B38" s="94">
        <v>38764</v>
      </c>
      <c r="C38" s="76">
        <v>21643</v>
      </c>
      <c r="D38" s="76">
        <f t="shared" si="20"/>
        <v>56400</v>
      </c>
      <c r="E38" s="112">
        <v>152.1</v>
      </c>
      <c r="F38" s="76">
        <v>38348</v>
      </c>
      <c r="G38" s="76">
        <f t="shared" si="18"/>
        <v>81500</v>
      </c>
      <c r="H38" s="112">
        <v>210</v>
      </c>
      <c r="I38" s="112">
        <v>18288</v>
      </c>
      <c r="J38" s="76">
        <f t="shared" si="19"/>
        <v>57700</v>
      </c>
      <c r="K38" s="112">
        <v>149.2</v>
      </c>
      <c r="L38" s="86">
        <f t="shared" si="14"/>
        <v>195600</v>
      </c>
      <c r="M38" s="112">
        <f t="shared" si="15"/>
        <v>511.3</v>
      </c>
      <c r="N38" s="177">
        <v>0.085</v>
      </c>
      <c r="O38" s="110">
        <f t="shared" si="16"/>
        <v>16626</v>
      </c>
      <c r="P38" s="104">
        <f t="shared" si="17"/>
        <v>14797.14</v>
      </c>
    </row>
    <row r="39" spans="1:16" s="37" customFormat="1" ht="12.75">
      <c r="A39" s="84">
        <v>38777</v>
      </c>
      <c r="B39" s="94">
        <v>38791</v>
      </c>
      <c r="C39" s="76">
        <v>22175</v>
      </c>
      <c r="D39" s="76">
        <f t="shared" si="20"/>
        <v>53200</v>
      </c>
      <c r="E39" s="112">
        <v>143.6</v>
      </c>
      <c r="F39" s="76">
        <v>39108</v>
      </c>
      <c r="G39" s="76">
        <f t="shared" si="18"/>
        <v>76000</v>
      </c>
      <c r="H39" s="112">
        <v>189.2</v>
      </c>
      <c r="I39" s="112">
        <v>18831</v>
      </c>
      <c r="J39" s="76">
        <f t="shared" si="19"/>
        <v>54300</v>
      </c>
      <c r="K39" s="112">
        <v>140.8</v>
      </c>
      <c r="L39" s="86">
        <f t="shared" si="14"/>
        <v>183500</v>
      </c>
      <c r="M39" s="112">
        <f t="shared" si="15"/>
        <v>473.59999999999997</v>
      </c>
      <c r="N39" s="177">
        <v>0.085</v>
      </c>
      <c r="O39" s="110">
        <f t="shared" si="16"/>
        <v>15597.500000000002</v>
      </c>
      <c r="P39" s="104">
        <f t="shared" si="17"/>
        <v>13881.775000000001</v>
      </c>
    </row>
    <row r="40" spans="1:16" s="37" customFormat="1" ht="12.75">
      <c r="A40" s="84">
        <v>38808</v>
      </c>
      <c r="B40" s="94">
        <f>'HTHW Usage'!C41</f>
        <v>38824</v>
      </c>
      <c r="C40" s="76">
        <v>22841</v>
      </c>
      <c r="D40" s="76">
        <f t="shared" si="20"/>
        <v>66600</v>
      </c>
      <c r="E40" s="226">
        <v>148.7</v>
      </c>
      <c r="F40" s="76">
        <v>40153</v>
      </c>
      <c r="G40" s="76">
        <f t="shared" si="18"/>
        <v>104500</v>
      </c>
      <c r="H40" s="112">
        <v>193.9</v>
      </c>
      <c r="I40" s="112">
        <v>19537</v>
      </c>
      <c r="J40" s="76">
        <f t="shared" si="19"/>
        <v>70600</v>
      </c>
      <c r="K40" s="112">
        <v>155.3</v>
      </c>
      <c r="L40" s="86">
        <f t="shared" si="14"/>
        <v>241700</v>
      </c>
      <c r="M40" s="112">
        <f t="shared" si="15"/>
        <v>497.90000000000003</v>
      </c>
      <c r="N40" s="177">
        <v>0.085</v>
      </c>
      <c r="O40" s="110">
        <f t="shared" si="16"/>
        <v>20544.5</v>
      </c>
      <c r="P40" s="104">
        <f t="shared" si="17"/>
        <v>18284.605</v>
      </c>
    </row>
    <row r="41" spans="1:16" s="37" customFormat="1" ht="12.75">
      <c r="A41" s="99">
        <v>38838</v>
      </c>
      <c r="B41" s="94">
        <v>38856</v>
      </c>
      <c r="C41" s="76">
        <v>23488</v>
      </c>
      <c r="D41" s="76">
        <f t="shared" si="20"/>
        <v>64700</v>
      </c>
      <c r="E41" s="226">
        <v>144.5</v>
      </c>
      <c r="F41" s="76">
        <v>41147</v>
      </c>
      <c r="G41" s="76">
        <f t="shared" si="18"/>
        <v>99400</v>
      </c>
      <c r="H41" s="148">
        <v>245.9</v>
      </c>
      <c r="I41" s="112">
        <v>20260</v>
      </c>
      <c r="J41" s="76">
        <f t="shared" si="19"/>
        <v>72300</v>
      </c>
      <c r="K41" s="112">
        <v>326.4</v>
      </c>
      <c r="L41" s="86">
        <f t="shared" si="14"/>
        <v>236400</v>
      </c>
      <c r="M41" s="112">
        <f t="shared" si="15"/>
        <v>716.8</v>
      </c>
      <c r="N41" s="177">
        <v>0.085</v>
      </c>
      <c r="O41" s="110">
        <f t="shared" si="16"/>
        <v>20094</v>
      </c>
      <c r="P41" s="104">
        <f t="shared" si="17"/>
        <v>17883.66</v>
      </c>
    </row>
    <row r="42" spans="1:16" s="37" customFormat="1" ht="13.5" thickBot="1">
      <c r="A42" s="99">
        <v>38869</v>
      </c>
      <c r="B42" s="94">
        <v>38882</v>
      </c>
      <c r="C42" s="277">
        <v>23971</v>
      </c>
      <c r="D42" s="277">
        <f t="shared" si="20"/>
        <v>48300</v>
      </c>
      <c r="E42" s="290">
        <v>141</v>
      </c>
      <c r="F42" s="277">
        <v>42124</v>
      </c>
      <c r="G42" s="277">
        <f t="shared" si="18"/>
        <v>97700</v>
      </c>
      <c r="H42" s="291">
        <v>236.4</v>
      </c>
      <c r="I42" s="74">
        <v>21164</v>
      </c>
      <c r="J42" s="277">
        <f t="shared" si="19"/>
        <v>90400</v>
      </c>
      <c r="K42" s="74">
        <v>341.8</v>
      </c>
      <c r="L42" s="100">
        <f>IF(D42="","",D42+G42+J42)</f>
        <v>236400</v>
      </c>
      <c r="M42" s="74">
        <f t="shared" si="15"/>
        <v>719.2</v>
      </c>
      <c r="N42" s="292">
        <v>0.085</v>
      </c>
      <c r="O42" s="102">
        <f t="shared" si="16"/>
        <v>20094</v>
      </c>
      <c r="P42" s="293">
        <f t="shared" si="17"/>
        <v>17883.66</v>
      </c>
    </row>
    <row r="43" spans="1:16" s="37" customFormat="1" ht="12.75">
      <c r="A43" s="79">
        <v>38899</v>
      </c>
      <c r="B43" s="113">
        <v>38915</v>
      </c>
      <c r="C43" s="82">
        <v>24585</v>
      </c>
      <c r="D43" s="82">
        <f>IF(C43="","",(C43-C42)*100)</f>
        <v>61400</v>
      </c>
      <c r="E43" s="225"/>
      <c r="F43" s="82">
        <v>43412</v>
      </c>
      <c r="G43" s="82">
        <f>IF(F43="","",(F43-F42)*100)</f>
        <v>128800</v>
      </c>
      <c r="H43" s="111"/>
      <c r="I43" s="82">
        <v>22492</v>
      </c>
      <c r="J43" s="82">
        <f>IF(I43="","",(I43-I42)*100)</f>
        <v>132800</v>
      </c>
      <c r="K43" s="111"/>
      <c r="L43" s="81">
        <f>IF(D43="","",D43+G43+J43)</f>
        <v>323000</v>
      </c>
      <c r="M43" s="82">
        <f>IF(E43="","",E43+H43+K43)</f>
      </c>
      <c r="N43" s="105">
        <v>0.08700000000000001</v>
      </c>
      <c r="O43" s="109">
        <f>IF(L43="","",L43*N43)</f>
        <v>28101.000000000004</v>
      </c>
      <c r="P43" s="103">
        <f>IF(O43="","",O43*$P$3)</f>
        <v>25009.890000000003</v>
      </c>
    </row>
    <row r="44" spans="1:16" s="37" customFormat="1" ht="12.75">
      <c r="A44" s="84">
        <v>38930</v>
      </c>
      <c r="B44" s="114">
        <v>38944</v>
      </c>
      <c r="C44" s="76">
        <v>25154</v>
      </c>
      <c r="D44" s="76">
        <f>IF(C44="","",(C44-C43)*100)</f>
        <v>56900</v>
      </c>
      <c r="E44" s="112"/>
      <c r="F44" s="76">
        <v>44684</v>
      </c>
      <c r="G44" s="76">
        <f>IF(F44="","",(F44-F43)*100)</f>
        <v>127200</v>
      </c>
      <c r="H44" s="112"/>
      <c r="I44" s="76">
        <v>23913</v>
      </c>
      <c r="J44" s="76">
        <f>IF(I44="","",(I44-I43)*100)</f>
        <v>142100</v>
      </c>
      <c r="K44" s="112"/>
      <c r="L44" s="86">
        <f aca="true" t="shared" si="21" ref="L44:L53">IF(D44="","",D44+G44+J44)</f>
        <v>326200</v>
      </c>
      <c r="M44" s="112">
        <f aca="true" t="shared" si="22" ref="M44:M54">IF(E44="","",E44+H44+K44)</f>
      </c>
      <c r="N44" s="106">
        <v>0.08700000000000001</v>
      </c>
      <c r="O44" s="110">
        <f aca="true" t="shared" si="23" ref="O44:O54">IF(L44="","",L44*N44)</f>
        <v>28379.4</v>
      </c>
      <c r="P44" s="104">
        <f t="shared" si="17"/>
        <v>25257.666</v>
      </c>
    </row>
    <row r="45" spans="1:16" s="37" customFormat="1" ht="12.75">
      <c r="A45" s="84">
        <v>38961</v>
      </c>
      <c r="B45" s="114">
        <v>38975</v>
      </c>
      <c r="C45" s="76">
        <v>25777</v>
      </c>
      <c r="D45" s="76">
        <f>IF(C45="","",(C45-C44)*100)</f>
        <v>62300</v>
      </c>
      <c r="E45" s="112"/>
      <c r="F45" s="76">
        <v>45991</v>
      </c>
      <c r="G45" s="76">
        <f>IF(F45="","",(F45-F44)*100)</f>
        <v>130700</v>
      </c>
      <c r="H45" s="112"/>
      <c r="I45" s="76">
        <v>25281</v>
      </c>
      <c r="J45" s="76">
        <f>IF(I45="","",(I45-I44)*100)</f>
        <v>136800</v>
      </c>
      <c r="K45" s="112"/>
      <c r="L45" s="86">
        <f t="shared" si="21"/>
        <v>329800</v>
      </c>
      <c r="M45" s="112">
        <f t="shared" si="22"/>
      </c>
      <c r="N45" s="106">
        <v>0.08700000000000001</v>
      </c>
      <c r="O45" s="110">
        <f t="shared" si="23"/>
        <v>28692.600000000002</v>
      </c>
      <c r="P45" s="104">
        <f t="shared" si="17"/>
        <v>25536.414</v>
      </c>
    </row>
    <row r="46" spans="1:16" s="37" customFormat="1" ht="12.75">
      <c r="A46" s="84">
        <v>38991</v>
      </c>
      <c r="B46" s="94">
        <v>39005</v>
      </c>
      <c r="C46" s="76">
        <v>26295</v>
      </c>
      <c r="D46" s="76">
        <f aca="true" t="shared" si="24" ref="D46:D54">IF(C46="","",(C46-C45)*100)</f>
        <v>51800</v>
      </c>
      <c r="E46" s="112">
        <v>146.5</v>
      </c>
      <c r="F46" s="76">
        <v>46915</v>
      </c>
      <c r="G46" s="76">
        <f aca="true" t="shared" si="25" ref="G46:G54">IF(F46="","",(F46-F45)*100)</f>
        <v>92400</v>
      </c>
      <c r="H46" s="112">
        <v>271.1</v>
      </c>
      <c r="I46" s="112">
        <v>25988</v>
      </c>
      <c r="J46" s="76">
        <f aca="true" t="shared" si="26" ref="J46:J53">IF(I46="","",(I46-I45)*100)</f>
        <v>70700</v>
      </c>
      <c r="K46" s="112">
        <v>301</v>
      </c>
      <c r="L46" s="86">
        <f t="shared" si="21"/>
        <v>214900</v>
      </c>
      <c r="M46" s="112">
        <f t="shared" si="22"/>
        <v>718.6</v>
      </c>
      <c r="N46" s="177">
        <v>0.08700000000000001</v>
      </c>
      <c r="O46" s="110">
        <f t="shared" si="23"/>
        <v>18696.300000000003</v>
      </c>
      <c r="P46" s="104">
        <f t="shared" si="17"/>
        <v>16639.707000000002</v>
      </c>
    </row>
    <row r="47" spans="1:16" s="37" customFormat="1" ht="12.75">
      <c r="A47" s="84">
        <v>39022</v>
      </c>
      <c r="B47" s="94">
        <v>39036</v>
      </c>
      <c r="C47" s="76">
        <v>26935</v>
      </c>
      <c r="D47" s="76">
        <f t="shared" si="24"/>
        <v>64000</v>
      </c>
      <c r="E47" s="112">
        <v>146.2</v>
      </c>
      <c r="F47" s="76">
        <v>47901</v>
      </c>
      <c r="G47" s="76">
        <f t="shared" si="25"/>
        <v>98600</v>
      </c>
      <c r="H47" s="112">
        <v>201</v>
      </c>
      <c r="I47" s="112">
        <v>26576</v>
      </c>
      <c r="J47" s="76">
        <f t="shared" si="26"/>
        <v>58800</v>
      </c>
      <c r="K47" s="112">
        <v>301</v>
      </c>
      <c r="L47" s="86">
        <f t="shared" si="21"/>
        <v>221400</v>
      </c>
      <c r="M47" s="112">
        <f t="shared" si="22"/>
        <v>648.2</v>
      </c>
      <c r="N47" s="177">
        <v>0.08700000000000001</v>
      </c>
      <c r="O47" s="110">
        <f t="shared" si="23"/>
        <v>19261.800000000003</v>
      </c>
      <c r="P47" s="104">
        <f t="shared" si="17"/>
        <v>17143.002000000004</v>
      </c>
    </row>
    <row r="48" spans="1:16" s="37" customFormat="1" ht="12.75">
      <c r="A48" s="84">
        <v>39052</v>
      </c>
      <c r="B48" s="94">
        <v>39066</v>
      </c>
      <c r="C48" s="76">
        <v>27582</v>
      </c>
      <c r="D48" s="76">
        <f t="shared" si="24"/>
        <v>64700</v>
      </c>
      <c r="E48" s="112">
        <v>146.2</v>
      </c>
      <c r="F48" s="76">
        <v>48902</v>
      </c>
      <c r="G48" s="76">
        <f t="shared" si="25"/>
        <v>100100</v>
      </c>
      <c r="H48" s="112">
        <v>200.7</v>
      </c>
      <c r="I48" s="112">
        <v>27276</v>
      </c>
      <c r="J48" s="76">
        <f t="shared" si="26"/>
        <v>70000</v>
      </c>
      <c r="K48" s="112">
        <v>153.6</v>
      </c>
      <c r="L48" s="86">
        <f t="shared" si="21"/>
        <v>234800</v>
      </c>
      <c r="M48" s="112">
        <f t="shared" si="22"/>
        <v>500.5</v>
      </c>
      <c r="N48" s="177">
        <v>0.08700000000000001</v>
      </c>
      <c r="O48" s="110">
        <f t="shared" si="23"/>
        <v>20427.600000000002</v>
      </c>
      <c r="P48" s="104">
        <f t="shared" si="17"/>
        <v>18180.564000000002</v>
      </c>
    </row>
    <row r="49" spans="1:16" s="37" customFormat="1" ht="12.75">
      <c r="A49" s="84">
        <v>39083</v>
      </c>
      <c r="B49" s="94">
        <v>39097</v>
      </c>
      <c r="C49" s="76">
        <v>28029</v>
      </c>
      <c r="D49" s="76">
        <f t="shared" si="24"/>
        <v>44700</v>
      </c>
      <c r="E49" s="112">
        <v>142.3</v>
      </c>
      <c r="F49" s="76">
        <v>49603</v>
      </c>
      <c r="G49" s="76">
        <f t="shared" si="25"/>
        <v>70100</v>
      </c>
      <c r="H49" s="112">
        <v>207.6</v>
      </c>
      <c r="I49" s="112">
        <v>27751</v>
      </c>
      <c r="J49" s="76">
        <f t="shared" si="26"/>
        <v>47500</v>
      </c>
      <c r="K49" s="112">
        <v>149.4</v>
      </c>
      <c r="L49" s="86">
        <f t="shared" si="21"/>
        <v>162300</v>
      </c>
      <c r="M49" s="112">
        <f t="shared" si="22"/>
        <v>499.29999999999995</v>
      </c>
      <c r="N49" s="177">
        <v>0.08700000000000001</v>
      </c>
      <c r="O49" s="110">
        <f t="shared" si="23"/>
        <v>14120.100000000002</v>
      </c>
      <c r="P49" s="104">
        <f t="shared" si="17"/>
        <v>12566.889000000003</v>
      </c>
    </row>
    <row r="50" spans="1:16" s="37" customFormat="1" ht="12.75">
      <c r="A50" s="84">
        <v>39114</v>
      </c>
      <c r="B50" s="94">
        <v>39128</v>
      </c>
      <c r="C50" s="76">
        <v>28651</v>
      </c>
      <c r="D50" s="76">
        <f t="shared" si="24"/>
        <v>62200</v>
      </c>
      <c r="E50" s="112">
        <v>142.9</v>
      </c>
      <c r="F50" s="76">
        <v>50593</v>
      </c>
      <c r="G50" s="76">
        <f t="shared" si="25"/>
        <v>99000</v>
      </c>
      <c r="H50" s="112">
        <v>213.5</v>
      </c>
      <c r="I50" s="112">
        <v>28403</v>
      </c>
      <c r="J50" s="76">
        <f t="shared" si="26"/>
        <v>65200</v>
      </c>
      <c r="K50" s="112">
        <v>150.4</v>
      </c>
      <c r="L50" s="86">
        <f t="shared" si="21"/>
        <v>226400</v>
      </c>
      <c r="M50" s="112">
        <f t="shared" si="22"/>
        <v>506.79999999999995</v>
      </c>
      <c r="N50" s="177">
        <v>0.08700000000000001</v>
      </c>
      <c r="O50" s="110">
        <f t="shared" si="23"/>
        <v>19696.800000000003</v>
      </c>
      <c r="P50" s="104">
        <f t="shared" si="17"/>
        <v>17530.152000000002</v>
      </c>
    </row>
    <row r="51" spans="1:16" s="37" customFormat="1" ht="12.75">
      <c r="A51" s="84">
        <v>39142</v>
      </c>
      <c r="B51" s="94">
        <v>39156</v>
      </c>
      <c r="C51" s="76">
        <v>29214</v>
      </c>
      <c r="D51" s="76">
        <f t="shared" si="24"/>
        <v>56300</v>
      </c>
      <c r="E51" s="112">
        <v>142.7</v>
      </c>
      <c r="F51" s="76">
        <v>51428</v>
      </c>
      <c r="G51" s="76">
        <f t="shared" si="25"/>
        <v>83500</v>
      </c>
      <c r="H51" s="112">
        <v>201.5</v>
      </c>
      <c r="I51" s="112">
        <v>28974</v>
      </c>
      <c r="J51" s="76">
        <f t="shared" si="26"/>
        <v>57100</v>
      </c>
      <c r="K51" s="112">
        <v>143</v>
      </c>
      <c r="L51" s="86">
        <f t="shared" si="21"/>
        <v>196900</v>
      </c>
      <c r="M51" s="112">
        <f t="shared" si="22"/>
        <v>487.2</v>
      </c>
      <c r="N51" s="177">
        <v>0.08700000000000001</v>
      </c>
      <c r="O51" s="110">
        <f t="shared" si="23"/>
        <v>17130.300000000003</v>
      </c>
      <c r="P51" s="104">
        <f t="shared" si="17"/>
        <v>15245.967000000002</v>
      </c>
    </row>
    <row r="52" spans="1:16" s="37" customFormat="1" ht="12.75">
      <c r="A52" s="84">
        <v>39173</v>
      </c>
      <c r="B52" s="94">
        <v>39188</v>
      </c>
      <c r="C52" s="76">
        <v>29854</v>
      </c>
      <c r="D52" s="76">
        <f t="shared" si="24"/>
        <v>64000</v>
      </c>
      <c r="E52" s="226">
        <v>147</v>
      </c>
      <c r="F52" s="76">
        <v>52400</v>
      </c>
      <c r="G52" s="76">
        <f t="shared" si="25"/>
        <v>97200</v>
      </c>
      <c r="H52" s="112">
        <v>197.4</v>
      </c>
      <c r="I52" s="112">
        <v>29707</v>
      </c>
      <c r="J52" s="76">
        <f t="shared" si="26"/>
        <v>73300</v>
      </c>
      <c r="K52" s="112">
        <v>118.1</v>
      </c>
      <c r="L52" s="86">
        <f t="shared" si="21"/>
        <v>234500</v>
      </c>
      <c r="M52" s="112">
        <f t="shared" si="22"/>
        <v>462.5</v>
      </c>
      <c r="N52" s="177">
        <v>0.08700000000000001</v>
      </c>
      <c r="O52" s="110">
        <f t="shared" si="23"/>
        <v>20401.500000000004</v>
      </c>
      <c r="P52" s="104">
        <f t="shared" si="17"/>
        <v>18157.335000000003</v>
      </c>
    </row>
    <row r="53" spans="1:16" s="37" customFormat="1" ht="12.75">
      <c r="A53" s="99">
        <v>39203</v>
      </c>
      <c r="B53" s="94">
        <v>39219</v>
      </c>
      <c r="C53" s="76">
        <v>30370</v>
      </c>
      <c r="D53" s="76">
        <f t="shared" si="24"/>
        <v>51600</v>
      </c>
      <c r="E53" s="226">
        <v>140</v>
      </c>
      <c r="F53" s="76">
        <v>53366</v>
      </c>
      <c r="G53" s="76">
        <f t="shared" si="25"/>
        <v>96600</v>
      </c>
      <c r="H53" s="112">
        <v>241.9</v>
      </c>
      <c r="I53" s="112">
        <v>30528</v>
      </c>
      <c r="J53" s="76">
        <f t="shared" si="26"/>
        <v>82100</v>
      </c>
      <c r="K53" s="112">
        <v>93.1</v>
      </c>
      <c r="L53" s="86">
        <f t="shared" si="21"/>
        <v>230300</v>
      </c>
      <c r="M53" s="112">
        <f t="shared" si="22"/>
        <v>475</v>
      </c>
      <c r="N53" s="177">
        <v>0.08700000000000001</v>
      </c>
      <c r="O53" s="110">
        <f t="shared" si="23"/>
        <v>20036.100000000002</v>
      </c>
      <c r="P53" s="104">
        <f t="shared" si="17"/>
        <v>17832.129</v>
      </c>
    </row>
    <row r="54" spans="1:17" s="37" customFormat="1" ht="13.5" thickBot="1">
      <c r="A54" s="42">
        <v>39234</v>
      </c>
      <c r="B54" s="241">
        <v>39246</v>
      </c>
      <c r="C54" s="185">
        <v>30732</v>
      </c>
      <c r="D54" s="76">
        <f t="shared" si="24"/>
        <v>36200</v>
      </c>
      <c r="E54" s="228">
        <v>112.6</v>
      </c>
      <c r="F54" s="185">
        <v>54696</v>
      </c>
      <c r="G54" s="76">
        <f t="shared" si="25"/>
        <v>133000</v>
      </c>
      <c r="H54" s="112">
        <v>515.4</v>
      </c>
      <c r="I54" s="221" t="s">
        <v>99</v>
      </c>
      <c r="J54" s="155"/>
      <c r="K54" s="221"/>
      <c r="L54" s="222">
        <f aca="true" t="shared" si="27" ref="L54:L63">IF(D54="","",D54+G54+J54)</f>
        <v>169200</v>
      </c>
      <c r="M54" s="221">
        <f t="shared" si="22"/>
        <v>628</v>
      </c>
      <c r="N54" s="300">
        <v>0.08700000000000001</v>
      </c>
      <c r="O54" s="39">
        <f t="shared" si="23"/>
        <v>14720.400000000001</v>
      </c>
      <c r="P54" s="224">
        <f t="shared" si="17"/>
        <v>13101.156</v>
      </c>
      <c r="Q54" s="329">
        <f>SUM(P43:P54)</f>
        <v>222200.871</v>
      </c>
    </row>
    <row r="55" spans="1:16" s="37" customFormat="1" ht="12.75">
      <c r="A55" s="79">
        <v>39264</v>
      </c>
      <c r="B55" s="113">
        <v>39280</v>
      </c>
      <c r="C55" s="82">
        <v>31343</v>
      </c>
      <c r="D55" s="82">
        <f aca="true" t="shared" si="28" ref="D55:D66">IF(C55="","",(C55-C54)*100)</f>
        <v>61100</v>
      </c>
      <c r="E55" s="82">
        <v>160.5</v>
      </c>
      <c r="F55" s="82">
        <v>57722</v>
      </c>
      <c r="G55" s="82">
        <f aca="true" t="shared" si="29" ref="G55:G66">IF(F55="","",(F55-F54)*100)</f>
        <v>302600</v>
      </c>
      <c r="H55" s="111">
        <v>597.2</v>
      </c>
      <c r="I55" s="82" t="s">
        <v>99</v>
      </c>
      <c r="J55" s="82"/>
      <c r="K55" s="111"/>
      <c r="L55" s="82">
        <f t="shared" si="27"/>
        <v>363700</v>
      </c>
      <c r="M55" s="82">
        <f>IF(E55="","",E55+H55+K55)</f>
        <v>757.7</v>
      </c>
      <c r="N55" s="332">
        <v>0.09</v>
      </c>
      <c r="O55" s="109">
        <f>IF(L55="","",L55*N55)</f>
        <v>32733</v>
      </c>
      <c r="P55" s="103">
        <f>IF(O55="","",O55*$P$3)</f>
        <v>29132.37</v>
      </c>
    </row>
    <row r="56" spans="1:16" s="37" customFormat="1" ht="12.75">
      <c r="A56" s="84">
        <v>39295</v>
      </c>
      <c r="B56" s="114">
        <v>39309</v>
      </c>
      <c r="C56" s="76">
        <v>31918</v>
      </c>
      <c r="D56" s="76">
        <f t="shared" si="28"/>
        <v>57500</v>
      </c>
      <c r="E56" s="76">
        <v>149</v>
      </c>
      <c r="F56" s="76">
        <v>60474</v>
      </c>
      <c r="G56" s="76">
        <f t="shared" si="29"/>
        <v>275200</v>
      </c>
      <c r="H56" s="112">
        <v>574.1</v>
      </c>
      <c r="I56" s="76" t="s">
        <v>99</v>
      </c>
      <c r="J56" s="76"/>
      <c r="K56" s="112"/>
      <c r="L56" s="76">
        <f t="shared" si="27"/>
        <v>332700</v>
      </c>
      <c r="M56" s="112">
        <f>IF(E56="","",E56+H56+K56)</f>
        <v>723.1</v>
      </c>
      <c r="N56" s="333">
        <v>0.09</v>
      </c>
      <c r="O56" s="110">
        <f aca="true" t="shared" si="30" ref="O56:O66">IF(L56="","",L56*N56)</f>
        <v>29943</v>
      </c>
      <c r="P56" s="104">
        <f t="shared" si="17"/>
        <v>26649.27</v>
      </c>
    </row>
    <row r="57" spans="1:16" s="37" customFormat="1" ht="12.75">
      <c r="A57" s="84">
        <v>39326</v>
      </c>
      <c r="B57" s="114">
        <v>39344</v>
      </c>
      <c r="C57" s="76">
        <v>32634</v>
      </c>
      <c r="D57" s="76">
        <f t="shared" si="28"/>
        <v>71600</v>
      </c>
      <c r="E57" s="76">
        <v>159.9</v>
      </c>
      <c r="F57" s="76">
        <v>63607</v>
      </c>
      <c r="G57" s="76">
        <f t="shared" si="29"/>
        <v>313300</v>
      </c>
      <c r="H57" s="112">
        <v>680.8</v>
      </c>
      <c r="I57" s="76" t="s">
        <v>99</v>
      </c>
      <c r="J57" s="76"/>
      <c r="K57" s="112"/>
      <c r="L57" s="76">
        <f t="shared" si="27"/>
        <v>384900</v>
      </c>
      <c r="M57" s="112">
        <f>IF(E57="","",E57+H57+K57)</f>
        <v>840.6999999999999</v>
      </c>
      <c r="N57" s="333">
        <v>0.09</v>
      </c>
      <c r="O57" s="110">
        <f t="shared" si="30"/>
        <v>34641</v>
      </c>
      <c r="P57" s="104">
        <f t="shared" si="17"/>
        <v>30830.49</v>
      </c>
    </row>
    <row r="58" spans="1:16" s="37" customFormat="1" ht="12.75">
      <c r="A58" s="84">
        <v>39356</v>
      </c>
      <c r="B58" s="114">
        <v>39370</v>
      </c>
      <c r="C58" s="76">
        <v>33146</v>
      </c>
      <c r="D58" s="76">
        <f t="shared" si="28"/>
        <v>51200</v>
      </c>
      <c r="E58" s="76">
        <v>146.3</v>
      </c>
      <c r="F58" s="76">
        <v>65830</v>
      </c>
      <c r="G58" s="76">
        <f t="shared" si="29"/>
        <v>222300</v>
      </c>
      <c r="H58" s="112">
        <v>687.2</v>
      </c>
      <c r="I58" s="76" t="s">
        <v>99</v>
      </c>
      <c r="J58" s="76"/>
      <c r="K58" s="112"/>
      <c r="L58" s="76">
        <f t="shared" si="27"/>
        <v>273500</v>
      </c>
      <c r="M58" s="112">
        <f aca="true" t="shared" si="31" ref="M58:M65">IF(E58="","",E58+H58+K58)</f>
        <v>833.5</v>
      </c>
      <c r="N58" s="333">
        <v>0.09</v>
      </c>
      <c r="O58" s="110">
        <f t="shared" si="30"/>
        <v>24615</v>
      </c>
      <c r="P58" s="104">
        <f t="shared" si="17"/>
        <v>21907.35</v>
      </c>
    </row>
    <row r="59" spans="1:16" s="37" customFormat="1" ht="12.75">
      <c r="A59" s="84">
        <v>39387</v>
      </c>
      <c r="B59" s="114">
        <v>39405</v>
      </c>
      <c r="C59" s="76">
        <v>33844</v>
      </c>
      <c r="D59" s="76">
        <f t="shared" si="28"/>
        <v>69800</v>
      </c>
      <c r="E59" s="76">
        <v>144.8</v>
      </c>
      <c r="F59" s="76">
        <v>67977</v>
      </c>
      <c r="G59" s="76">
        <f t="shared" si="29"/>
        <v>214700</v>
      </c>
      <c r="H59" s="112">
        <v>602.9</v>
      </c>
      <c r="I59" s="76" t="s">
        <v>99</v>
      </c>
      <c r="J59" s="76"/>
      <c r="K59" s="112"/>
      <c r="L59" s="76">
        <f t="shared" si="27"/>
        <v>284500</v>
      </c>
      <c r="M59" s="112">
        <f t="shared" si="31"/>
        <v>747.7</v>
      </c>
      <c r="N59" s="334">
        <v>0.09</v>
      </c>
      <c r="O59" s="110">
        <f t="shared" si="30"/>
        <v>25605</v>
      </c>
      <c r="P59" s="104">
        <f t="shared" si="17"/>
        <v>22788.45</v>
      </c>
    </row>
    <row r="60" spans="1:16" s="37" customFormat="1" ht="12.75">
      <c r="A60" s="84">
        <v>39417</v>
      </c>
      <c r="B60" s="114">
        <v>39430</v>
      </c>
      <c r="C60" s="76">
        <v>34336</v>
      </c>
      <c r="D60" s="76">
        <f t="shared" si="28"/>
        <v>49200</v>
      </c>
      <c r="E60" s="76">
        <v>146.3</v>
      </c>
      <c r="F60" s="76">
        <v>69246</v>
      </c>
      <c r="G60" s="76">
        <f t="shared" si="29"/>
        <v>126900</v>
      </c>
      <c r="H60" s="112">
        <v>375.9</v>
      </c>
      <c r="I60" s="112" t="s">
        <v>99</v>
      </c>
      <c r="J60" s="76"/>
      <c r="K60" s="112"/>
      <c r="L60" s="76">
        <f t="shared" si="27"/>
        <v>176100</v>
      </c>
      <c r="M60" s="112">
        <f t="shared" si="31"/>
        <v>522.2</v>
      </c>
      <c r="N60" s="334">
        <v>0.09</v>
      </c>
      <c r="O60" s="110">
        <f t="shared" si="30"/>
        <v>15849</v>
      </c>
      <c r="P60" s="104">
        <f t="shared" si="17"/>
        <v>14105.61</v>
      </c>
    </row>
    <row r="61" spans="1:16" s="37" customFormat="1" ht="12.75">
      <c r="A61" s="84">
        <v>39448</v>
      </c>
      <c r="B61" s="114">
        <v>39461</v>
      </c>
      <c r="C61" s="76">
        <v>34850</v>
      </c>
      <c r="D61" s="76">
        <f t="shared" si="28"/>
        <v>51400</v>
      </c>
      <c r="E61" s="76">
        <v>139.5</v>
      </c>
      <c r="F61" s="76">
        <v>70457</v>
      </c>
      <c r="G61" s="76">
        <f t="shared" si="29"/>
        <v>121100</v>
      </c>
      <c r="H61" s="112">
        <v>325.5</v>
      </c>
      <c r="I61" s="76" t="s">
        <v>99</v>
      </c>
      <c r="J61" s="76"/>
      <c r="K61" s="112"/>
      <c r="L61" s="76">
        <f t="shared" si="27"/>
        <v>172500</v>
      </c>
      <c r="M61" s="112">
        <f t="shared" si="31"/>
        <v>465</v>
      </c>
      <c r="N61" s="334">
        <v>0.09</v>
      </c>
      <c r="O61" s="110">
        <f t="shared" si="30"/>
        <v>15525</v>
      </c>
      <c r="P61" s="104">
        <f t="shared" si="17"/>
        <v>13817.25</v>
      </c>
    </row>
    <row r="62" spans="1:16" s="37" customFormat="1" ht="12.75">
      <c r="A62" s="84">
        <v>39479</v>
      </c>
      <c r="B62" s="114">
        <v>39492</v>
      </c>
      <c r="C62" s="76">
        <v>35454</v>
      </c>
      <c r="D62" s="76">
        <f t="shared" si="28"/>
        <v>60400</v>
      </c>
      <c r="E62" s="76">
        <v>140</v>
      </c>
      <c r="F62" s="76">
        <v>72080</v>
      </c>
      <c r="G62" s="76">
        <f t="shared" si="29"/>
        <v>162300</v>
      </c>
      <c r="H62" s="112">
        <v>335.5</v>
      </c>
      <c r="I62" s="112" t="s">
        <v>99</v>
      </c>
      <c r="J62" s="76"/>
      <c r="K62" s="112"/>
      <c r="L62" s="76">
        <f t="shared" si="27"/>
        <v>222700</v>
      </c>
      <c r="M62" s="112">
        <f t="shared" si="31"/>
        <v>475.5</v>
      </c>
      <c r="N62" s="334">
        <v>0.09</v>
      </c>
      <c r="O62" s="110">
        <f t="shared" si="30"/>
        <v>20043</v>
      </c>
      <c r="P62" s="104">
        <f t="shared" si="17"/>
        <v>17838.27</v>
      </c>
    </row>
    <row r="63" spans="1:16" s="37" customFormat="1" ht="12.75">
      <c r="A63" s="84">
        <v>39508</v>
      </c>
      <c r="B63" s="114">
        <v>39495</v>
      </c>
      <c r="C63" s="76">
        <v>36066</v>
      </c>
      <c r="D63" s="76">
        <f t="shared" si="28"/>
        <v>61200</v>
      </c>
      <c r="E63" s="76">
        <v>145.2</v>
      </c>
      <c r="F63" s="76">
        <v>73713</v>
      </c>
      <c r="G63" s="76">
        <f t="shared" si="29"/>
        <v>163300</v>
      </c>
      <c r="H63" s="112">
        <v>335.4</v>
      </c>
      <c r="I63" s="76" t="s">
        <v>99</v>
      </c>
      <c r="J63" s="76"/>
      <c r="K63" s="112"/>
      <c r="L63" s="76">
        <f t="shared" si="27"/>
        <v>224500</v>
      </c>
      <c r="M63" s="112">
        <f t="shared" si="31"/>
        <v>480.59999999999997</v>
      </c>
      <c r="N63" s="334">
        <v>0.09</v>
      </c>
      <c r="O63" s="110">
        <f t="shared" si="30"/>
        <v>20205</v>
      </c>
      <c r="P63" s="104">
        <f t="shared" si="17"/>
        <v>17982.45</v>
      </c>
    </row>
    <row r="64" spans="1:16" s="37" customFormat="1" ht="12.75">
      <c r="A64" s="84">
        <v>39539</v>
      </c>
      <c r="B64" s="94">
        <v>39553</v>
      </c>
      <c r="C64" s="76">
        <v>36613</v>
      </c>
      <c r="D64" s="76">
        <f t="shared" si="28"/>
        <v>54700</v>
      </c>
      <c r="E64" s="226"/>
      <c r="F64" s="76">
        <v>75197</v>
      </c>
      <c r="G64" s="76">
        <f t="shared" si="29"/>
        <v>148400</v>
      </c>
      <c r="H64" s="112"/>
      <c r="I64" s="112" t="s">
        <v>99</v>
      </c>
      <c r="J64" s="76"/>
      <c r="K64" s="112"/>
      <c r="L64" s="76">
        <f>L52</f>
        <v>234500</v>
      </c>
      <c r="M64" s="112">
        <f t="shared" si="31"/>
      </c>
      <c r="N64" s="334">
        <v>0.09</v>
      </c>
      <c r="O64" s="110">
        <f>IF(L64="","",L64*N64)</f>
        <v>21105</v>
      </c>
      <c r="P64" s="104">
        <f t="shared" si="17"/>
        <v>18783.45</v>
      </c>
    </row>
    <row r="65" spans="1:16" s="37" customFormat="1" ht="12.75">
      <c r="A65" s="99">
        <v>39569</v>
      </c>
      <c r="B65" s="94">
        <v>39583</v>
      </c>
      <c r="C65" s="76">
        <v>37157</v>
      </c>
      <c r="D65" s="76">
        <f t="shared" si="28"/>
        <v>54400</v>
      </c>
      <c r="E65" s="226"/>
      <c r="F65" s="76">
        <v>76846</v>
      </c>
      <c r="G65" s="76">
        <f t="shared" si="29"/>
        <v>164900</v>
      </c>
      <c r="H65" s="112"/>
      <c r="I65" s="112" t="s">
        <v>99</v>
      </c>
      <c r="J65" s="76"/>
      <c r="K65" s="112"/>
      <c r="L65" s="76">
        <f>L53</f>
        <v>230300</v>
      </c>
      <c r="M65" s="112">
        <f t="shared" si="31"/>
      </c>
      <c r="N65" s="334">
        <v>0.09</v>
      </c>
      <c r="O65" s="110">
        <f t="shared" si="30"/>
        <v>20727</v>
      </c>
      <c r="P65" s="104">
        <f t="shared" si="17"/>
        <v>18447.03</v>
      </c>
    </row>
    <row r="66" spans="1:17" s="37" customFormat="1" ht="13.5" thickBot="1">
      <c r="A66" s="42">
        <v>39600</v>
      </c>
      <c r="B66" s="241">
        <v>39615</v>
      </c>
      <c r="C66" s="185">
        <v>37692</v>
      </c>
      <c r="D66" s="185">
        <f t="shared" si="28"/>
        <v>53500</v>
      </c>
      <c r="E66" s="228">
        <v>144.7</v>
      </c>
      <c r="F66" s="185">
        <v>79119</v>
      </c>
      <c r="G66" s="185">
        <f t="shared" si="29"/>
        <v>227300</v>
      </c>
      <c r="H66" s="221">
        <v>589.1</v>
      </c>
      <c r="I66" s="221" t="s">
        <v>99</v>
      </c>
      <c r="J66" s="185"/>
      <c r="K66" s="221"/>
      <c r="L66" s="185">
        <f aca="true" t="shared" si="32" ref="L66:M69">IF(D66="","",D66+G66+J66)</f>
        <v>280800</v>
      </c>
      <c r="M66" s="221">
        <f t="shared" si="32"/>
        <v>733.8</v>
      </c>
      <c r="N66" s="334">
        <v>0.09</v>
      </c>
      <c r="O66" s="39">
        <f t="shared" si="30"/>
        <v>25272</v>
      </c>
      <c r="P66" s="224">
        <f t="shared" si="17"/>
        <v>22492.08</v>
      </c>
      <c r="Q66" s="329">
        <f>SUM(P55:P66)</f>
        <v>254774.07000000007</v>
      </c>
    </row>
    <row r="67" spans="1:16" s="37" customFormat="1" ht="12.75">
      <c r="A67" s="242">
        <v>39630</v>
      </c>
      <c r="B67" s="331">
        <v>39645</v>
      </c>
      <c r="C67" s="231">
        <v>38198</v>
      </c>
      <c r="D67" s="231">
        <f aca="true" t="shared" si="33" ref="D67:D93">IF(C67="","",(C67-C66)*100)</f>
        <v>50600</v>
      </c>
      <c r="E67" s="231">
        <v>133.1</v>
      </c>
      <c r="F67" s="357">
        <v>81548</v>
      </c>
      <c r="G67" s="231">
        <f>IF(F67="","",(F67-F66)*100)</f>
        <v>242900</v>
      </c>
      <c r="H67" s="267">
        <v>583.3</v>
      </c>
      <c r="I67" s="231" t="s">
        <v>99</v>
      </c>
      <c r="J67" s="231"/>
      <c r="K67" s="231"/>
      <c r="L67" s="231">
        <f t="shared" si="32"/>
        <v>293500</v>
      </c>
      <c r="M67" s="231">
        <f t="shared" si="32"/>
        <v>716.4</v>
      </c>
      <c r="N67" s="336">
        <v>0.08349999999999999</v>
      </c>
      <c r="O67" s="230">
        <f>IF(L67="","",L67*N67)</f>
        <v>24507.249999999996</v>
      </c>
      <c r="P67" s="269">
        <f>IF(O67="","",O67*$P$3)</f>
        <v>21811.452499999996</v>
      </c>
    </row>
    <row r="68" spans="1:16" s="37" customFormat="1" ht="12.75">
      <c r="A68" s="193">
        <v>39661</v>
      </c>
      <c r="B68" s="199">
        <v>39678</v>
      </c>
      <c r="C68" s="195">
        <v>38722</v>
      </c>
      <c r="D68" s="195">
        <f t="shared" si="33"/>
        <v>52400</v>
      </c>
      <c r="E68" s="195">
        <v>145.4</v>
      </c>
      <c r="F68" s="356">
        <v>84111</v>
      </c>
      <c r="G68" s="195">
        <f>IF(F68="","",(F68-F67)*100)</f>
        <v>256300</v>
      </c>
      <c r="H68" s="194">
        <v>587.3</v>
      </c>
      <c r="I68" s="195" t="s">
        <v>99</v>
      </c>
      <c r="J68" s="195"/>
      <c r="K68" s="195"/>
      <c r="L68" s="195">
        <f t="shared" si="32"/>
        <v>308700</v>
      </c>
      <c r="M68" s="194">
        <f t="shared" si="32"/>
        <v>732.6999999999999</v>
      </c>
      <c r="N68" s="337">
        <v>0.08349999999999999</v>
      </c>
      <c r="O68" s="197">
        <f aca="true" t="shared" si="34" ref="O68:O75">IF(L68="","",L68*N68)</f>
        <v>25776.449999999997</v>
      </c>
      <c r="P68" s="198">
        <f t="shared" si="17"/>
        <v>22941.0405</v>
      </c>
    </row>
    <row r="69" spans="1:16" s="37" customFormat="1" ht="12.75">
      <c r="A69" s="193">
        <v>39692</v>
      </c>
      <c r="B69" s="199">
        <v>39706</v>
      </c>
      <c r="C69" s="195">
        <v>39323</v>
      </c>
      <c r="D69" s="195">
        <f t="shared" si="33"/>
        <v>60100</v>
      </c>
      <c r="E69" s="195">
        <v>160</v>
      </c>
      <c r="F69" s="356">
        <v>86527</v>
      </c>
      <c r="G69" s="195">
        <f>IF(F69="","",(F69-F68)*100)</f>
        <v>241600</v>
      </c>
      <c r="H69" s="194">
        <v>626.3</v>
      </c>
      <c r="I69" s="195" t="s">
        <v>99</v>
      </c>
      <c r="J69" s="195"/>
      <c r="K69" s="195"/>
      <c r="L69" s="195">
        <f t="shared" si="32"/>
        <v>301700</v>
      </c>
      <c r="M69" s="194">
        <f t="shared" si="32"/>
        <v>786.3</v>
      </c>
      <c r="N69" s="337">
        <v>0.08349999999999999</v>
      </c>
      <c r="O69" s="197">
        <f t="shared" si="34"/>
        <v>25191.949999999997</v>
      </c>
      <c r="P69" s="198">
        <f t="shared" si="17"/>
        <v>22420.835499999997</v>
      </c>
    </row>
    <row r="70" spans="1:17" s="40" customFormat="1" ht="12.75">
      <c r="A70" s="193">
        <v>39722</v>
      </c>
      <c r="B70" s="344">
        <v>39736</v>
      </c>
      <c r="C70" s="195">
        <v>39903</v>
      </c>
      <c r="D70" s="195">
        <f t="shared" si="33"/>
        <v>58000</v>
      </c>
      <c r="E70" s="195">
        <v>138</v>
      </c>
      <c r="F70" s="356">
        <v>88707</v>
      </c>
      <c r="G70" s="195">
        <f>IF(F70="","",(F70-F69)*100)</f>
        <v>218000</v>
      </c>
      <c r="H70" s="194">
        <v>615</v>
      </c>
      <c r="I70" s="195" t="s">
        <v>99</v>
      </c>
      <c r="J70" s="195"/>
      <c r="K70" s="195"/>
      <c r="L70" s="195">
        <f aca="true" t="shared" si="35" ref="L70:L75">IF(D70="","",D70+G70+J70)</f>
        <v>276000</v>
      </c>
      <c r="M70" s="194">
        <f aca="true" t="shared" si="36" ref="M70:M75">IF(E70="","",E70+H70+K70)</f>
        <v>753</v>
      </c>
      <c r="N70" s="345">
        <v>0.08349999999999999</v>
      </c>
      <c r="O70" s="197">
        <f t="shared" si="34"/>
        <v>23045.999999999996</v>
      </c>
      <c r="P70" s="198">
        <f t="shared" si="17"/>
        <v>20510.94</v>
      </c>
      <c r="Q70" s="37"/>
    </row>
    <row r="71" spans="1:17" s="40" customFormat="1" ht="12.75">
      <c r="A71" s="193">
        <v>39753</v>
      </c>
      <c r="B71" s="344">
        <v>39770</v>
      </c>
      <c r="C71" s="195">
        <v>40526</v>
      </c>
      <c r="D71" s="195">
        <f t="shared" si="33"/>
        <v>62300</v>
      </c>
      <c r="E71" s="195">
        <v>153</v>
      </c>
      <c r="F71" s="363">
        <f>(F72-F70)/2+F70</f>
        <v>90310.5</v>
      </c>
      <c r="G71" s="195">
        <f aca="true" t="shared" si="37" ref="G71:G93">IF(F71="","",(F71-F70)*100)</f>
        <v>160350</v>
      </c>
      <c r="H71" s="335">
        <v>610</v>
      </c>
      <c r="I71" s="195" t="s">
        <v>99</v>
      </c>
      <c r="J71" s="195"/>
      <c r="K71" s="194"/>
      <c r="L71" s="195">
        <f t="shared" si="35"/>
        <v>222650</v>
      </c>
      <c r="M71" s="194">
        <f t="shared" si="36"/>
        <v>763</v>
      </c>
      <c r="N71" s="345">
        <v>0.08349999999999999</v>
      </c>
      <c r="O71" s="197">
        <f t="shared" si="34"/>
        <v>18591.274999999998</v>
      </c>
      <c r="P71" s="198">
        <f t="shared" si="17"/>
        <v>16546.23475</v>
      </c>
      <c r="Q71" s="37"/>
    </row>
    <row r="72" spans="1:17" s="40" customFormat="1" ht="12.75">
      <c r="A72" s="193">
        <v>39783</v>
      </c>
      <c r="B72" s="344">
        <v>39797</v>
      </c>
      <c r="C72" s="195">
        <v>40999</v>
      </c>
      <c r="D72" s="195">
        <f t="shared" si="33"/>
        <v>47300</v>
      </c>
      <c r="E72" s="195">
        <v>140</v>
      </c>
      <c r="F72" s="356">
        <v>91914</v>
      </c>
      <c r="G72" s="195">
        <f t="shared" si="37"/>
        <v>160350</v>
      </c>
      <c r="H72" s="194">
        <v>609.4</v>
      </c>
      <c r="I72" s="195" t="s">
        <v>99</v>
      </c>
      <c r="J72" s="195"/>
      <c r="K72" s="194"/>
      <c r="L72" s="195">
        <f t="shared" si="35"/>
        <v>207650</v>
      </c>
      <c r="M72" s="194">
        <f t="shared" si="36"/>
        <v>749.4</v>
      </c>
      <c r="N72" s="345">
        <v>0.08349999999999999</v>
      </c>
      <c r="O72" s="197">
        <f t="shared" si="34"/>
        <v>17338.774999999998</v>
      </c>
      <c r="P72" s="198">
        <f t="shared" si="17"/>
        <v>15431.509749999997</v>
      </c>
      <c r="Q72" s="37"/>
    </row>
    <row r="73" spans="1:17" s="40" customFormat="1" ht="12.75">
      <c r="A73" s="193">
        <v>39814</v>
      </c>
      <c r="B73" s="344">
        <v>39829</v>
      </c>
      <c r="C73" s="195">
        <v>41522</v>
      </c>
      <c r="D73" s="195">
        <f t="shared" si="33"/>
        <v>52300</v>
      </c>
      <c r="E73" s="195">
        <v>138.3</v>
      </c>
      <c r="F73" s="363">
        <f>(F74-F72)/2+F72</f>
        <v>93261</v>
      </c>
      <c r="G73" s="195">
        <f t="shared" si="37"/>
        <v>134700</v>
      </c>
      <c r="H73" s="335">
        <v>600</v>
      </c>
      <c r="I73" s="195" t="s">
        <v>99</v>
      </c>
      <c r="J73" s="195"/>
      <c r="K73" s="194"/>
      <c r="L73" s="195">
        <f t="shared" si="35"/>
        <v>187000</v>
      </c>
      <c r="M73" s="194">
        <f>IF(E73="","",E73+H73+K73)</f>
        <v>738.3</v>
      </c>
      <c r="N73" s="345">
        <v>0.08349999999999999</v>
      </c>
      <c r="O73" s="197">
        <f t="shared" si="34"/>
        <v>15614.499999999998</v>
      </c>
      <c r="P73" s="198">
        <f t="shared" si="17"/>
        <v>13896.904999999999</v>
      </c>
      <c r="Q73" s="37"/>
    </row>
    <row r="74" spans="1:17" s="40" customFormat="1" ht="12.75">
      <c r="A74" s="193">
        <v>39845</v>
      </c>
      <c r="B74" s="344">
        <v>39861</v>
      </c>
      <c r="C74" s="195">
        <v>42119</v>
      </c>
      <c r="D74" s="195">
        <f t="shared" si="33"/>
        <v>59700</v>
      </c>
      <c r="E74" s="195">
        <v>146.3</v>
      </c>
      <c r="F74" s="356">
        <v>94608</v>
      </c>
      <c r="G74" s="195">
        <f t="shared" si="37"/>
        <v>134700</v>
      </c>
      <c r="H74" s="194">
        <v>337.1</v>
      </c>
      <c r="I74" s="194" t="s">
        <v>99</v>
      </c>
      <c r="J74" s="195"/>
      <c r="K74" s="194"/>
      <c r="L74" s="195">
        <f t="shared" si="35"/>
        <v>194400</v>
      </c>
      <c r="M74" s="194">
        <f t="shared" si="36"/>
        <v>483.40000000000003</v>
      </c>
      <c r="N74" s="345">
        <v>0.08349999999999999</v>
      </c>
      <c r="O74" s="197">
        <f t="shared" si="34"/>
        <v>16232.399999999998</v>
      </c>
      <c r="P74" s="198">
        <f t="shared" si="17"/>
        <v>14446.835999999998</v>
      </c>
      <c r="Q74" s="37"/>
    </row>
    <row r="75" spans="1:17" s="40" customFormat="1" ht="12.75">
      <c r="A75" s="193">
        <v>39873</v>
      </c>
      <c r="B75" s="344">
        <v>39889</v>
      </c>
      <c r="C75" s="195">
        <v>42628</v>
      </c>
      <c r="D75" s="195">
        <f t="shared" si="33"/>
        <v>50900</v>
      </c>
      <c r="E75" s="195">
        <v>144.4</v>
      </c>
      <c r="F75" s="363">
        <f>(F76-F74)/2+F74</f>
        <v>96157.5</v>
      </c>
      <c r="G75" s="195">
        <f t="shared" si="37"/>
        <v>154950</v>
      </c>
      <c r="H75" s="335">
        <v>350</v>
      </c>
      <c r="I75" s="195" t="s">
        <v>99</v>
      </c>
      <c r="J75" s="195"/>
      <c r="K75" s="194"/>
      <c r="L75" s="195">
        <f t="shared" si="35"/>
        <v>205850</v>
      </c>
      <c r="M75" s="194">
        <f t="shared" si="36"/>
        <v>494.4</v>
      </c>
      <c r="N75" s="345">
        <v>0.08349999999999999</v>
      </c>
      <c r="O75" s="197">
        <f t="shared" si="34"/>
        <v>17188.475</v>
      </c>
      <c r="P75" s="198">
        <f t="shared" si="17"/>
        <v>15297.74275</v>
      </c>
      <c r="Q75" s="37"/>
    </row>
    <row r="76" spans="1:17" s="40" customFormat="1" ht="12.75">
      <c r="A76" s="193">
        <v>39904</v>
      </c>
      <c r="B76" s="346">
        <v>39923</v>
      </c>
      <c r="C76" s="354">
        <v>43283</v>
      </c>
      <c r="D76" s="195">
        <f t="shared" si="33"/>
        <v>65500</v>
      </c>
      <c r="E76" s="195">
        <f>1.498*100</f>
        <v>149.8</v>
      </c>
      <c r="F76" s="355">
        <v>97707</v>
      </c>
      <c r="G76" s="195">
        <f t="shared" si="37"/>
        <v>154950</v>
      </c>
      <c r="H76" s="354">
        <f>3.266*100</f>
        <v>326.6</v>
      </c>
      <c r="I76" s="195" t="s">
        <v>99</v>
      </c>
      <c r="J76" s="299"/>
      <c r="K76" s="335"/>
      <c r="L76" s="195">
        <f aca="true" t="shared" si="38" ref="L76:M90">IF(D76="","",D76+G76+J76)</f>
        <v>220450</v>
      </c>
      <c r="M76" s="194">
        <f t="shared" si="38"/>
        <v>476.40000000000003</v>
      </c>
      <c r="N76" s="345">
        <v>0.08349999999999999</v>
      </c>
      <c r="O76" s="197">
        <f>IF(L76="","",L76*N76)</f>
        <v>18407.574999999997</v>
      </c>
      <c r="P76" s="198">
        <f t="shared" si="17"/>
        <v>16382.741749999997</v>
      </c>
      <c r="Q76" s="37"/>
    </row>
    <row r="77" spans="1:17" s="40" customFormat="1" ht="12.75">
      <c r="A77" s="353">
        <v>39934</v>
      </c>
      <c r="B77" s="346">
        <v>39948</v>
      </c>
      <c r="C77" s="354">
        <v>43737</v>
      </c>
      <c r="D77" s="195">
        <f t="shared" si="33"/>
        <v>45400</v>
      </c>
      <c r="E77" s="354">
        <f>1.457*100</f>
        <v>145.70000000000002</v>
      </c>
      <c r="F77" s="355">
        <v>99189</v>
      </c>
      <c r="G77" s="195">
        <f t="shared" si="37"/>
        <v>148200</v>
      </c>
      <c r="H77" s="354">
        <f>5.56*100</f>
        <v>556</v>
      </c>
      <c r="I77" s="195" t="s">
        <v>99</v>
      </c>
      <c r="J77" s="299"/>
      <c r="K77" s="335"/>
      <c r="L77" s="195">
        <f t="shared" si="38"/>
        <v>193600</v>
      </c>
      <c r="M77" s="194">
        <f t="shared" si="38"/>
        <v>701.7</v>
      </c>
      <c r="N77" s="345">
        <v>0.08349999999999999</v>
      </c>
      <c r="O77" s="197">
        <f>IF(L77="","",L77*N77)</f>
        <v>16165.599999999999</v>
      </c>
      <c r="P77" s="198">
        <f t="shared" si="17"/>
        <v>14387.383999999998</v>
      </c>
      <c r="Q77" s="37"/>
    </row>
    <row r="78" spans="1:17" s="40" customFormat="1" ht="13.5" thickBot="1">
      <c r="A78" s="353">
        <v>39965</v>
      </c>
      <c r="B78" s="346">
        <v>39979</v>
      </c>
      <c r="C78" s="370">
        <v>44246</v>
      </c>
      <c r="D78" s="195">
        <f t="shared" si="33"/>
        <v>50900</v>
      </c>
      <c r="E78" s="370">
        <f>1.406*100</f>
        <v>140.6</v>
      </c>
      <c r="F78" s="372">
        <v>101146</v>
      </c>
      <c r="G78" s="195">
        <f t="shared" si="37"/>
        <v>195700</v>
      </c>
      <c r="H78" s="370">
        <f>5.72*100</f>
        <v>572</v>
      </c>
      <c r="I78" s="371" t="s">
        <v>99</v>
      </c>
      <c r="J78" s="373"/>
      <c r="K78" s="374"/>
      <c r="L78" s="371">
        <f t="shared" si="38"/>
        <v>246600</v>
      </c>
      <c r="M78" s="375">
        <f t="shared" si="38"/>
        <v>712.6</v>
      </c>
      <c r="N78" s="345">
        <v>0.08349999999999999</v>
      </c>
      <c r="O78" s="376">
        <f>IF(L78="","",L78*N78)</f>
        <v>20591.1</v>
      </c>
      <c r="P78" s="377">
        <f t="shared" si="17"/>
        <v>18326.078999999998</v>
      </c>
      <c r="Q78" s="329">
        <f>SUM(P67:P78)</f>
        <v>212399.7015</v>
      </c>
    </row>
    <row r="79" spans="1:16" s="37" customFormat="1" ht="12.75">
      <c r="A79" s="242">
        <v>39995</v>
      </c>
      <c r="B79" s="331">
        <v>40011</v>
      </c>
      <c r="C79" s="231">
        <v>44792</v>
      </c>
      <c r="D79" s="195">
        <f t="shared" si="33"/>
        <v>54600</v>
      </c>
      <c r="E79" s="231">
        <v>133</v>
      </c>
      <c r="F79" s="357">
        <v>103757</v>
      </c>
      <c r="G79" s="195">
        <f t="shared" si="37"/>
        <v>261100</v>
      </c>
      <c r="H79" s="267">
        <v>586.8</v>
      </c>
      <c r="I79" s="231" t="s">
        <v>99</v>
      </c>
      <c r="J79" s="231"/>
      <c r="K79" s="231"/>
      <c r="L79" s="231">
        <f t="shared" si="38"/>
        <v>315700</v>
      </c>
      <c r="M79" s="267">
        <f t="shared" si="38"/>
        <v>719.8</v>
      </c>
      <c r="N79" s="345">
        <v>0.085</v>
      </c>
      <c r="O79" s="230">
        <f aca="true" t="shared" si="39" ref="O79:O86">IF(L79="","",L79*N79)</f>
        <v>26834.500000000004</v>
      </c>
      <c r="P79" s="269">
        <f t="shared" si="17"/>
        <v>23882.705000000005</v>
      </c>
    </row>
    <row r="80" spans="1:16" s="37" customFormat="1" ht="12.75">
      <c r="A80" s="193">
        <v>40026</v>
      </c>
      <c r="B80" s="199">
        <v>40042</v>
      </c>
      <c r="C80" s="195">
        <v>45304</v>
      </c>
      <c r="D80" s="195">
        <f t="shared" si="33"/>
        <v>51200</v>
      </c>
      <c r="E80" s="195">
        <v>132</v>
      </c>
      <c r="F80" s="356">
        <v>106344</v>
      </c>
      <c r="G80" s="195">
        <f t="shared" si="37"/>
        <v>258700</v>
      </c>
      <c r="H80" s="194">
        <v>601.9</v>
      </c>
      <c r="I80" s="195" t="s">
        <v>99</v>
      </c>
      <c r="J80" s="195"/>
      <c r="K80" s="195"/>
      <c r="L80" s="195">
        <f t="shared" si="38"/>
        <v>309900</v>
      </c>
      <c r="M80" s="194">
        <f t="shared" si="38"/>
        <v>733.9</v>
      </c>
      <c r="N80" s="345">
        <v>0.085</v>
      </c>
      <c r="O80" s="197">
        <f t="shared" si="39"/>
        <v>26341.500000000004</v>
      </c>
      <c r="P80" s="198">
        <f t="shared" si="17"/>
        <v>23443.935000000005</v>
      </c>
    </row>
    <row r="81" spans="1:17" s="40" customFormat="1" ht="12.75">
      <c r="A81" s="193">
        <v>40057</v>
      </c>
      <c r="B81" s="199">
        <v>40071</v>
      </c>
      <c r="C81" s="195">
        <v>45818</v>
      </c>
      <c r="D81" s="195">
        <f t="shared" si="33"/>
        <v>51400</v>
      </c>
      <c r="E81" s="195">
        <v>139</v>
      </c>
      <c r="F81" s="356">
        <v>108673</v>
      </c>
      <c r="G81" s="195">
        <f t="shared" si="37"/>
        <v>232900</v>
      </c>
      <c r="H81" s="194">
        <v>624.2</v>
      </c>
      <c r="I81" s="195" t="s">
        <v>99</v>
      </c>
      <c r="J81" s="195"/>
      <c r="K81" s="195"/>
      <c r="L81" s="195">
        <f t="shared" si="38"/>
        <v>284300</v>
      </c>
      <c r="M81" s="194">
        <f t="shared" si="38"/>
        <v>763.2</v>
      </c>
      <c r="N81" s="345">
        <v>0.085</v>
      </c>
      <c r="O81" s="197">
        <f t="shared" si="39"/>
        <v>24165.5</v>
      </c>
      <c r="P81" s="198">
        <f t="shared" si="17"/>
        <v>21507.295000000002</v>
      </c>
      <c r="Q81" s="37"/>
    </row>
    <row r="82" spans="1:17" s="40" customFormat="1" ht="12.75">
      <c r="A82" s="193">
        <v>40087</v>
      </c>
      <c r="B82" s="199">
        <v>40102</v>
      </c>
      <c r="C82" s="195">
        <v>46409</v>
      </c>
      <c r="D82" s="195">
        <f t="shared" si="33"/>
        <v>59100</v>
      </c>
      <c r="E82" s="195">
        <v>152</v>
      </c>
      <c r="F82" s="356">
        <v>110679</v>
      </c>
      <c r="G82" s="195">
        <f t="shared" si="37"/>
        <v>200600</v>
      </c>
      <c r="H82" s="194">
        <v>661</v>
      </c>
      <c r="I82" s="195" t="s">
        <v>99</v>
      </c>
      <c r="J82" s="195"/>
      <c r="K82" s="194"/>
      <c r="L82" s="195">
        <f t="shared" si="38"/>
        <v>259700</v>
      </c>
      <c r="M82" s="194">
        <f t="shared" si="38"/>
        <v>813</v>
      </c>
      <c r="N82" s="345">
        <v>0.085</v>
      </c>
      <c r="O82" s="197">
        <f t="shared" si="39"/>
        <v>22074.5</v>
      </c>
      <c r="P82" s="198">
        <f t="shared" si="17"/>
        <v>19646.305</v>
      </c>
      <c r="Q82" s="37"/>
    </row>
    <row r="83" spans="1:17" s="40" customFormat="1" ht="12.75">
      <c r="A83" s="193">
        <v>40118</v>
      </c>
      <c r="B83" s="199">
        <v>40133</v>
      </c>
      <c r="C83" s="195">
        <v>46963</v>
      </c>
      <c r="D83" s="195">
        <f t="shared" si="33"/>
        <v>55400</v>
      </c>
      <c r="E83" s="195">
        <v>148</v>
      </c>
      <c r="F83" s="356">
        <v>112238</v>
      </c>
      <c r="G83" s="195">
        <f t="shared" si="37"/>
        <v>155900</v>
      </c>
      <c r="H83" s="194">
        <v>625</v>
      </c>
      <c r="I83" s="195" t="s">
        <v>99</v>
      </c>
      <c r="J83" s="195"/>
      <c r="K83" s="194"/>
      <c r="L83" s="195">
        <f t="shared" si="38"/>
        <v>211300</v>
      </c>
      <c r="M83" s="194">
        <f t="shared" si="38"/>
        <v>773</v>
      </c>
      <c r="N83" s="345">
        <v>0.085</v>
      </c>
      <c r="O83" s="197">
        <f t="shared" si="39"/>
        <v>17960.5</v>
      </c>
      <c r="P83" s="198">
        <f t="shared" si="17"/>
        <v>15984.845</v>
      </c>
      <c r="Q83" s="37"/>
    </row>
    <row r="84" spans="1:17" s="40" customFormat="1" ht="12.75">
      <c r="A84" s="193">
        <v>40148</v>
      </c>
      <c r="B84" s="199">
        <v>40162</v>
      </c>
      <c r="C84" s="195">
        <v>47445</v>
      </c>
      <c r="D84" s="195">
        <f t="shared" si="33"/>
        <v>48200</v>
      </c>
      <c r="E84" s="195">
        <v>137</v>
      </c>
      <c r="F84" s="356">
        <v>113705</v>
      </c>
      <c r="G84" s="195">
        <f t="shared" si="37"/>
        <v>146700</v>
      </c>
      <c r="H84" s="194">
        <v>349</v>
      </c>
      <c r="I84" s="195" t="s">
        <v>99</v>
      </c>
      <c r="J84" s="195"/>
      <c r="K84" s="194"/>
      <c r="L84" s="195">
        <f t="shared" si="38"/>
        <v>194900</v>
      </c>
      <c r="M84" s="194">
        <f t="shared" si="38"/>
        <v>486</v>
      </c>
      <c r="N84" s="345">
        <v>0.085</v>
      </c>
      <c r="O84" s="197">
        <f t="shared" si="39"/>
        <v>16566.5</v>
      </c>
      <c r="P84" s="198">
        <f t="shared" si="17"/>
        <v>14744.185</v>
      </c>
      <c r="Q84" s="37"/>
    </row>
    <row r="85" spans="1:17" s="40" customFormat="1" ht="12.75">
      <c r="A85" s="193">
        <v>40179</v>
      </c>
      <c r="B85" s="199">
        <v>40193</v>
      </c>
      <c r="C85" s="195">
        <v>47899</v>
      </c>
      <c r="D85" s="195">
        <f t="shared" si="33"/>
        <v>45400</v>
      </c>
      <c r="E85" s="195">
        <v>130.8</v>
      </c>
      <c r="F85" s="356">
        <v>115017</v>
      </c>
      <c r="G85" s="195">
        <f t="shared" si="37"/>
        <v>131200</v>
      </c>
      <c r="H85" s="194">
        <v>327.9</v>
      </c>
      <c r="I85" s="195" t="s">
        <v>99</v>
      </c>
      <c r="J85" s="195"/>
      <c r="K85" s="194"/>
      <c r="L85" s="195">
        <f t="shared" si="38"/>
        <v>176600</v>
      </c>
      <c r="M85" s="194">
        <f t="shared" si="38"/>
        <v>458.7</v>
      </c>
      <c r="N85" s="345">
        <v>0.085</v>
      </c>
      <c r="O85" s="197">
        <f t="shared" si="39"/>
        <v>15011.000000000002</v>
      </c>
      <c r="P85" s="198">
        <f t="shared" si="17"/>
        <v>13359.790000000003</v>
      </c>
      <c r="Q85" s="37"/>
    </row>
    <row r="86" spans="1:17" s="40" customFormat="1" ht="12.75">
      <c r="A86" s="193">
        <v>40210</v>
      </c>
      <c r="B86" s="199">
        <v>40224</v>
      </c>
      <c r="C86" s="195">
        <v>48450</v>
      </c>
      <c r="D86" s="195">
        <f t="shared" si="33"/>
        <v>55100</v>
      </c>
      <c r="E86" s="195">
        <v>139.6</v>
      </c>
      <c r="F86" s="356">
        <v>116647</v>
      </c>
      <c r="G86" s="195">
        <f t="shared" si="37"/>
        <v>163000</v>
      </c>
      <c r="H86" s="194">
        <v>331.4</v>
      </c>
      <c r="I86" s="195" t="s">
        <v>99</v>
      </c>
      <c r="J86" s="195"/>
      <c r="K86" s="194"/>
      <c r="L86" s="195">
        <f aca="true" t="shared" si="40" ref="L86:L99">IF(D86="","",D86+G86+J86)</f>
        <v>218100</v>
      </c>
      <c r="M86" s="194">
        <f t="shared" si="38"/>
        <v>471</v>
      </c>
      <c r="N86" s="345">
        <v>0.085</v>
      </c>
      <c r="O86" s="197">
        <f t="shared" si="39"/>
        <v>18538.5</v>
      </c>
      <c r="P86" s="198">
        <f t="shared" si="17"/>
        <v>16499.265</v>
      </c>
      <c r="Q86" s="37"/>
    </row>
    <row r="87" spans="1:17" s="40" customFormat="1" ht="12.75">
      <c r="A87" s="193">
        <v>40238</v>
      </c>
      <c r="B87" s="199">
        <v>40252</v>
      </c>
      <c r="C87" s="195">
        <v>48956</v>
      </c>
      <c r="D87" s="195">
        <f t="shared" si="33"/>
        <v>50600</v>
      </c>
      <c r="E87" s="195">
        <v>144.4</v>
      </c>
      <c r="F87" s="356">
        <v>118118</v>
      </c>
      <c r="G87" s="195">
        <f t="shared" si="37"/>
        <v>147100</v>
      </c>
      <c r="H87" s="194">
        <v>343.2</v>
      </c>
      <c r="I87" s="195" t="s">
        <v>99</v>
      </c>
      <c r="J87" s="195"/>
      <c r="K87" s="194"/>
      <c r="L87" s="195">
        <f t="shared" si="40"/>
        <v>197700</v>
      </c>
      <c r="M87" s="194">
        <f t="shared" si="38"/>
        <v>487.6</v>
      </c>
      <c r="N87" s="345">
        <v>0.085</v>
      </c>
      <c r="O87" s="197">
        <f aca="true" t="shared" si="41" ref="O87:O99">IF(L87="","",L87*N87)</f>
        <v>16804.5</v>
      </c>
      <c r="P87" s="198">
        <f t="shared" si="17"/>
        <v>14956.005000000001</v>
      </c>
      <c r="Q87" s="37"/>
    </row>
    <row r="88" spans="1:17" s="40" customFormat="1" ht="12.75">
      <c r="A88" s="193">
        <v>40269</v>
      </c>
      <c r="B88" s="199">
        <v>40284</v>
      </c>
      <c r="C88" s="195">
        <v>49529</v>
      </c>
      <c r="D88" s="195">
        <f t="shared" si="33"/>
        <v>57300</v>
      </c>
      <c r="E88" s="195">
        <v>159.9</v>
      </c>
      <c r="F88" s="356">
        <v>119833</v>
      </c>
      <c r="G88" s="195">
        <f t="shared" si="37"/>
        <v>171500</v>
      </c>
      <c r="H88" s="194">
        <v>324.5</v>
      </c>
      <c r="I88" s="195" t="s">
        <v>99</v>
      </c>
      <c r="J88" s="195"/>
      <c r="K88" s="194"/>
      <c r="L88" s="195">
        <f t="shared" si="40"/>
        <v>228800</v>
      </c>
      <c r="M88" s="194">
        <f t="shared" si="38"/>
        <v>484.4</v>
      </c>
      <c r="N88" s="345">
        <v>0.085</v>
      </c>
      <c r="O88" s="197">
        <f t="shared" si="41"/>
        <v>19448</v>
      </c>
      <c r="P88" s="198">
        <f t="shared" si="17"/>
        <v>17308.72</v>
      </c>
      <c r="Q88" s="37"/>
    </row>
    <row r="89" spans="1:17" s="40" customFormat="1" ht="12.75">
      <c r="A89" s="193">
        <v>40299</v>
      </c>
      <c r="B89" s="199">
        <v>40312</v>
      </c>
      <c r="C89" s="195">
        <v>50090</v>
      </c>
      <c r="D89" s="195">
        <f t="shared" si="33"/>
        <v>56100</v>
      </c>
      <c r="E89" s="195">
        <v>154.5</v>
      </c>
      <c r="F89" s="356">
        <v>121240</v>
      </c>
      <c r="G89" s="195">
        <f t="shared" si="37"/>
        <v>140700</v>
      </c>
      <c r="H89" s="194">
        <v>281.8</v>
      </c>
      <c r="I89" s="195" t="s">
        <v>99</v>
      </c>
      <c r="J89" s="195"/>
      <c r="K89" s="194"/>
      <c r="L89" s="195">
        <f t="shared" si="40"/>
        <v>196800</v>
      </c>
      <c r="M89" s="194">
        <f t="shared" si="38"/>
        <v>436.3</v>
      </c>
      <c r="N89" s="345">
        <v>0.085</v>
      </c>
      <c r="O89" s="197">
        <f t="shared" si="41"/>
        <v>16728</v>
      </c>
      <c r="P89" s="198">
        <f t="shared" si="17"/>
        <v>14887.92</v>
      </c>
      <c r="Q89" s="37"/>
    </row>
    <row r="90" spans="1:17" s="40" customFormat="1" ht="13.5" thickBot="1">
      <c r="A90" s="353">
        <v>40330</v>
      </c>
      <c r="B90" s="346">
        <v>40343</v>
      </c>
      <c r="C90" s="371">
        <v>50626</v>
      </c>
      <c r="D90" s="485">
        <f t="shared" si="33"/>
        <v>53600</v>
      </c>
      <c r="E90" s="371">
        <v>156.3</v>
      </c>
      <c r="F90" s="428">
        <v>123529</v>
      </c>
      <c r="G90" s="195">
        <f t="shared" si="37"/>
        <v>228900</v>
      </c>
      <c r="H90" s="375">
        <v>531.2</v>
      </c>
      <c r="I90" s="371" t="s">
        <v>99</v>
      </c>
      <c r="J90" s="371"/>
      <c r="K90" s="375"/>
      <c r="L90" s="371">
        <f t="shared" si="40"/>
        <v>282500</v>
      </c>
      <c r="M90" s="375">
        <f t="shared" si="38"/>
        <v>687.5</v>
      </c>
      <c r="N90" s="432">
        <v>0.085</v>
      </c>
      <c r="O90" s="376">
        <f t="shared" si="41"/>
        <v>24012.5</v>
      </c>
      <c r="P90" s="377">
        <f t="shared" si="17"/>
        <v>21371.125</v>
      </c>
      <c r="Q90" s="37">
        <f>SUM(P79:P90)</f>
        <v>217592.09500000003</v>
      </c>
    </row>
    <row r="91" spans="1:17" s="40" customFormat="1" ht="12.75">
      <c r="A91" s="242">
        <v>40360</v>
      </c>
      <c r="B91" s="273">
        <v>40375</v>
      </c>
      <c r="C91" s="231">
        <v>51179</v>
      </c>
      <c r="D91" s="231">
        <f t="shared" si="33"/>
        <v>55300</v>
      </c>
      <c r="E91" s="231">
        <v>105.7</v>
      </c>
      <c r="F91" s="357">
        <v>126346</v>
      </c>
      <c r="G91" s="195">
        <f t="shared" si="37"/>
        <v>281700</v>
      </c>
      <c r="H91" s="267">
        <v>513.2</v>
      </c>
      <c r="I91" s="231" t="s">
        <v>99</v>
      </c>
      <c r="J91" s="231"/>
      <c r="K91" s="267"/>
      <c r="L91" s="231">
        <f t="shared" si="40"/>
        <v>337000</v>
      </c>
      <c r="M91" s="267">
        <f aca="true" t="shared" si="42" ref="M91:M99">IF(E91="","",E91+H91+K91)</f>
        <v>618.9000000000001</v>
      </c>
      <c r="N91" s="433">
        <f>Rates!$E$10</f>
        <v>0.087</v>
      </c>
      <c r="O91" s="230">
        <f t="shared" si="41"/>
        <v>29318.999999999996</v>
      </c>
      <c r="P91" s="269">
        <f>IF(O91="","",O91*$P$3)</f>
        <v>26093.909999999996</v>
      </c>
      <c r="Q91" s="37"/>
    </row>
    <row r="92" spans="1:17" s="40" customFormat="1" ht="12.75">
      <c r="A92" s="193">
        <v>40391</v>
      </c>
      <c r="B92" s="199">
        <v>40406</v>
      </c>
      <c r="C92" s="195">
        <v>51700</v>
      </c>
      <c r="D92" s="195">
        <f t="shared" si="33"/>
        <v>52100</v>
      </c>
      <c r="E92" s="195">
        <v>136.7</v>
      </c>
      <c r="F92" s="356">
        <v>129316</v>
      </c>
      <c r="G92" s="195">
        <f t="shared" si="37"/>
        <v>297000</v>
      </c>
      <c r="H92" s="194">
        <v>507.8</v>
      </c>
      <c r="I92" s="195" t="s">
        <v>99</v>
      </c>
      <c r="J92" s="195"/>
      <c r="K92" s="194"/>
      <c r="L92" s="195">
        <f t="shared" si="40"/>
        <v>349100</v>
      </c>
      <c r="M92" s="194">
        <f t="shared" si="42"/>
        <v>644.5</v>
      </c>
      <c r="N92" s="345">
        <f>Rates!$E$10</f>
        <v>0.087</v>
      </c>
      <c r="O92" s="197">
        <f t="shared" si="41"/>
        <v>30371.699999999997</v>
      </c>
      <c r="P92" s="198">
        <f>IF(O92="","",O92*$P$3)</f>
        <v>27030.813</v>
      </c>
      <c r="Q92" s="37"/>
    </row>
    <row r="93" spans="1:17" s="40" customFormat="1" ht="13.5" thickBot="1">
      <c r="A93" s="353">
        <v>40422</v>
      </c>
      <c r="B93" s="346">
        <v>40438</v>
      </c>
      <c r="C93" s="371">
        <v>52270</v>
      </c>
      <c r="D93" s="361">
        <f t="shared" si="33"/>
        <v>57000</v>
      </c>
      <c r="E93" s="371">
        <v>164.4</v>
      </c>
      <c r="F93" s="428">
        <v>131958</v>
      </c>
      <c r="G93" s="195">
        <f t="shared" si="37"/>
        <v>264200</v>
      </c>
      <c r="H93" s="375">
        <v>286.4</v>
      </c>
      <c r="I93" s="371" t="s">
        <v>99</v>
      </c>
      <c r="J93" s="371"/>
      <c r="K93" s="375"/>
      <c r="L93" s="371">
        <f t="shared" si="40"/>
        <v>321200</v>
      </c>
      <c r="M93" s="375">
        <f t="shared" si="42"/>
        <v>450.79999999999995</v>
      </c>
      <c r="N93" s="432">
        <f>Rates!$E$10</f>
        <v>0.087</v>
      </c>
      <c r="O93" s="376">
        <f t="shared" si="41"/>
        <v>27944.399999999998</v>
      </c>
      <c r="P93" s="377">
        <f>IF(O93="","",O93*$P$3)</f>
        <v>24870.516</v>
      </c>
      <c r="Q93" s="37"/>
    </row>
    <row r="94" spans="1:17" s="40" customFormat="1" ht="12.75">
      <c r="A94" s="439">
        <v>40452</v>
      </c>
      <c r="B94" s="273">
        <v>40466</v>
      </c>
      <c r="C94" s="388">
        <v>11234</v>
      </c>
      <c r="D94" s="480">
        <f>AVERAGE(D91:D93)</f>
        <v>54800</v>
      </c>
      <c r="E94" s="388">
        <v>141.1</v>
      </c>
      <c r="F94" s="231">
        <v>29626</v>
      </c>
      <c r="G94" s="480">
        <f>AVERAGE(G91:G93)</f>
        <v>280966.6666666667</v>
      </c>
      <c r="H94" s="267">
        <v>567</v>
      </c>
      <c r="I94" s="388" t="s">
        <v>99</v>
      </c>
      <c r="J94" s="231"/>
      <c r="K94" s="444"/>
      <c r="L94" s="231">
        <f t="shared" si="40"/>
        <v>335766.6666666667</v>
      </c>
      <c r="M94" s="444">
        <f t="shared" si="42"/>
        <v>708.1</v>
      </c>
      <c r="N94" s="433">
        <f>Rates!$E$10</f>
        <v>0.087</v>
      </c>
      <c r="O94" s="448">
        <f t="shared" si="41"/>
        <v>29211.7</v>
      </c>
      <c r="P94" s="230">
        <f aca="true" t="shared" si="43" ref="P94:P102">IF(O94="","",O94*$P$3)</f>
        <v>25998.413</v>
      </c>
      <c r="Q94" s="37"/>
    </row>
    <row r="95" spans="1:17" s="40" customFormat="1" ht="12.75">
      <c r="A95" s="440">
        <v>40483</v>
      </c>
      <c r="B95" s="199">
        <v>40497</v>
      </c>
      <c r="C95" s="390">
        <v>65374</v>
      </c>
      <c r="D95" s="195">
        <f>IF(C95="","",(C95-C94))</f>
        <v>54140</v>
      </c>
      <c r="E95" s="390">
        <v>156.9</v>
      </c>
      <c r="F95" s="195">
        <v>207450</v>
      </c>
      <c r="G95" s="195">
        <f>IF(F95="","",(F95-F94))</f>
        <v>177824</v>
      </c>
      <c r="H95" s="194">
        <v>613.8</v>
      </c>
      <c r="I95" s="390" t="s">
        <v>99</v>
      </c>
      <c r="J95" s="195"/>
      <c r="K95" s="445"/>
      <c r="L95" s="195">
        <f t="shared" si="40"/>
        <v>231964</v>
      </c>
      <c r="M95" s="445">
        <f t="shared" si="42"/>
        <v>770.6999999999999</v>
      </c>
      <c r="N95" s="345">
        <f>Rates!$E$10</f>
        <v>0.087</v>
      </c>
      <c r="O95" s="215">
        <f t="shared" si="41"/>
        <v>20180.868</v>
      </c>
      <c r="P95" s="197">
        <f t="shared" si="43"/>
        <v>17960.97252</v>
      </c>
      <c r="Q95" s="37"/>
    </row>
    <row r="96" spans="1:17" s="40" customFormat="1" ht="13.5" thickBot="1">
      <c r="A96" s="441">
        <v>40513</v>
      </c>
      <c r="B96" s="352">
        <v>40526</v>
      </c>
      <c r="C96" s="442">
        <v>114772</v>
      </c>
      <c r="D96" s="361">
        <f>IF(C96="","",(C96-C95))</f>
        <v>49398</v>
      </c>
      <c r="E96" s="442">
        <v>146.9</v>
      </c>
      <c r="F96" s="361">
        <v>355282</v>
      </c>
      <c r="G96" s="361">
        <f>IF(F96="","",(F96-F95))</f>
        <v>147832</v>
      </c>
      <c r="H96" s="443">
        <v>352.5</v>
      </c>
      <c r="I96" s="442" t="s">
        <v>99</v>
      </c>
      <c r="J96" s="361"/>
      <c r="K96" s="446"/>
      <c r="L96" s="361">
        <f t="shared" si="40"/>
        <v>197230</v>
      </c>
      <c r="M96" s="446">
        <f t="shared" si="42"/>
        <v>499.4</v>
      </c>
      <c r="N96" s="447">
        <f>Rates!$E$10</f>
        <v>0.087</v>
      </c>
      <c r="O96" s="218">
        <f t="shared" si="41"/>
        <v>17159.01</v>
      </c>
      <c r="P96" s="217">
        <f t="shared" si="43"/>
        <v>15271.5189</v>
      </c>
      <c r="Q96" s="37"/>
    </row>
    <row r="97" spans="1:17" s="40" customFormat="1" ht="12.75">
      <c r="A97" s="439">
        <v>40544</v>
      </c>
      <c r="B97" s="273">
        <v>40560</v>
      </c>
      <c r="C97" s="388">
        <v>168711</v>
      </c>
      <c r="D97" s="486">
        <f>IF(C97="","",(C97-C96))</f>
        <v>53939</v>
      </c>
      <c r="E97" s="388">
        <v>146.6</v>
      </c>
      <c r="F97" s="231">
        <v>456582</v>
      </c>
      <c r="G97" s="486">
        <f>IF(F97="","",(F97-F96))</f>
        <v>101300</v>
      </c>
      <c r="H97" s="267">
        <v>354.6</v>
      </c>
      <c r="I97" s="388">
        <v>0</v>
      </c>
      <c r="J97" s="486"/>
      <c r="K97" s="444"/>
      <c r="L97" s="231">
        <f t="shared" si="40"/>
        <v>155239</v>
      </c>
      <c r="M97" s="444">
        <f t="shared" si="42"/>
        <v>501.20000000000005</v>
      </c>
      <c r="N97" s="433">
        <v>0.087</v>
      </c>
      <c r="O97" s="448">
        <f t="shared" si="41"/>
        <v>13505.793</v>
      </c>
      <c r="P97" s="230">
        <f t="shared" si="43"/>
        <v>12020.15577</v>
      </c>
      <c r="Q97" s="37"/>
    </row>
    <row r="98" spans="1:17" s="40" customFormat="1" ht="12.75">
      <c r="A98" s="440">
        <v>40575</v>
      </c>
      <c r="B98" s="199">
        <v>40588</v>
      </c>
      <c r="C98" s="390">
        <v>219676</v>
      </c>
      <c r="D98" s="195">
        <f>IF(C98="","",(C98-C97))</f>
        <v>50965</v>
      </c>
      <c r="E98" s="390">
        <v>153.5</v>
      </c>
      <c r="F98" s="195">
        <v>600490</v>
      </c>
      <c r="G98" s="195">
        <f>IF(F98="","",(F98-F97))</f>
        <v>143908</v>
      </c>
      <c r="H98" s="194">
        <v>353.6</v>
      </c>
      <c r="I98" s="390">
        <v>0</v>
      </c>
      <c r="J98" s="195">
        <f>IF(I98="","",(I98-I97))</f>
        <v>0</v>
      </c>
      <c r="K98" s="445"/>
      <c r="L98" s="195">
        <f t="shared" si="40"/>
        <v>194873</v>
      </c>
      <c r="M98" s="445">
        <f t="shared" si="42"/>
        <v>507.1</v>
      </c>
      <c r="N98" s="345">
        <v>0.087</v>
      </c>
      <c r="O98" s="215">
        <f t="shared" si="41"/>
        <v>16953.950999999997</v>
      </c>
      <c r="P98" s="197">
        <f t="shared" si="43"/>
        <v>15089.016389999997</v>
      </c>
      <c r="Q98" s="37"/>
    </row>
    <row r="99" spans="1:17" s="40" customFormat="1" ht="13.5" thickBot="1">
      <c r="A99" s="441">
        <v>40603</v>
      </c>
      <c r="B99" s="352">
        <v>40620</v>
      </c>
      <c r="C99" s="442">
        <v>273345</v>
      </c>
      <c r="D99" s="485">
        <f>IF(C99="","",(C99-C98))</f>
        <v>53669</v>
      </c>
      <c r="E99" s="511">
        <v>151</v>
      </c>
      <c r="F99" s="485">
        <v>637290</v>
      </c>
      <c r="G99" s="485">
        <f>IF(F99="","",(F99-F98))</f>
        <v>36800</v>
      </c>
      <c r="H99" s="512">
        <v>339</v>
      </c>
      <c r="I99" s="511">
        <v>10598</v>
      </c>
      <c r="J99" s="485">
        <f>IF(I99="","",(I99-I98))</f>
        <v>10598</v>
      </c>
      <c r="K99" s="446"/>
      <c r="L99" s="361">
        <f t="shared" si="40"/>
        <v>101067</v>
      </c>
      <c r="M99" s="446">
        <f t="shared" si="42"/>
        <v>490</v>
      </c>
      <c r="N99" s="447">
        <v>0.087</v>
      </c>
      <c r="O99" s="218">
        <f t="shared" si="41"/>
        <v>8792.829</v>
      </c>
      <c r="P99" s="217">
        <f t="shared" si="43"/>
        <v>7825.61781</v>
      </c>
      <c r="Q99" s="37"/>
    </row>
    <row r="100" spans="1:17" s="40" customFormat="1" ht="12.75">
      <c r="A100" s="438">
        <v>40634</v>
      </c>
      <c r="B100" s="454">
        <v>40648</v>
      </c>
      <c r="C100" s="416">
        <v>322309</v>
      </c>
      <c r="D100" s="231">
        <f>IF(C100="","",(C100-C99))</f>
        <v>48964</v>
      </c>
      <c r="E100" s="513">
        <v>143.7</v>
      </c>
      <c r="F100" s="514">
        <v>638336</v>
      </c>
      <c r="G100" s="231">
        <f>IF(F100="","",(F100-F99))</f>
        <v>1046</v>
      </c>
      <c r="H100" s="515">
        <v>2.5</v>
      </c>
      <c r="I100" s="513">
        <v>235453</v>
      </c>
      <c r="J100" s="231">
        <f>IF(I100="","",(I100-I99))</f>
        <v>224855</v>
      </c>
      <c r="K100" s="417">
        <v>317.7</v>
      </c>
      <c r="L100" s="231">
        <f aca="true" t="shared" si="44" ref="L100:M102">IF(D100="","",D100+G100+J100)</f>
        <v>274865</v>
      </c>
      <c r="M100" s="444">
        <f t="shared" si="44"/>
        <v>463.9</v>
      </c>
      <c r="N100" s="433">
        <v>0.087</v>
      </c>
      <c r="O100" s="448">
        <f>IF(L100="","",L100*N100)</f>
        <v>23913.254999999997</v>
      </c>
      <c r="P100" s="230">
        <f t="shared" si="43"/>
        <v>21282.796949999996</v>
      </c>
      <c r="Q100" s="37"/>
    </row>
    <row r="101" spans="1:17" s="40" customFormat="1" ht="12.75">
      <c r="A101" s="193">
        <v>40664</v>
      </c>
      <c r="B101" s="199">
        <v>40679</v>
      </c>
      <c r="C101" s="390">
        <v>369400</v>
      </c>
      <c r="D101" s="195">
        <f>IF(C101="","",(C101-C100))</f>
        <v>47091</v>
      </c>
      <c r="E101" s="390">
        <v>160.6</v>
      </c>
      <c r="F101" s="195">
        <v>639394</v>
      </c>
      <c r="G101" s="195">
        <f>IF(F101="","",(F101-F100))</f>
        <v>1058</v>
      </c>
      <c r="H101" s="194">
        <v>2</v>
      </c>
      <c r="I101" s="390">
        <v>354966</v>
      </c>
      <c r="J101" s="195">
        <f>IF(I101="","",(I101-I100))</f>
        <v>119513</v>
      </c>
      <c r="K101" s="445">
        <v>481.4</v>
      </c>
      <c r="L101" s="195">
        <f t="shared" si="44"/>
        <v>167662</v>
      </c>
      <c r="M101" s="445">
        <f t="shared" si="44"/>
        <v>644</v>
      </c>
      <c r="N101" s="345">
        <v>0.087</v>
      </c>
      <c r="O101" s="215">
        <f>IF(L101="","",L101*N101)</f>
        <v>14586.594</v>
      </c>
      <c r="P101" s="197">
        <f t="shared" si="43"/>
        <v>12982.068659999999</v>
      </c>
      <c r="Q101" s="37"/>
    </row>
    <row r="102" spans="1:17" s="40" customFormat="1" ht="13.5" thickBot="1">
      <c r="A102" s="350">
        <v>40695</v>
      </c>
      <c r="B102" s="507">
        <v>40711</v>
      </c>
      <c r="C102" s="431">
        <v>414680</v>
      </c>
      <c r="D102" s="361">
        <f>IF(C102="","",(C102-C101))</f>
        <v>45280</v>
      </c>
      <c r="E102" s="431">
        <v>150</v>
      </c>
      <c r="F102" s="509">
        <v>640453</v>
      </c>
      <c r="G102" s="361">
        <f>IF(F102="","",(F102-F101))</f>
        <v>1059</v>
      </c>
      <c r="H102" s="510">
        <v>2</v>
      </c>
      <c r="I102" s="431">
        <v>563435</v>
      </c>
      <c r="J102" s="361">
        <f>IF(I102="","",(I102-I101))</f>
        <v>208469</v>
      </c>
      <c r="K102" s="434">
        <v>548</v>
      </c>
      <c r="L102" s="361">
        <f t="shared" si="44"/>
        <v>254808</v>
      </c>
      <c r="M102" s="446">
        <f t="shared" si="44"/>
        <v>700</v>
      </c>
      <c r="N102" s="447">
        <v>0.087</v>
      </c>
      <c r="O102" s="218">
        <f>IF(L102="","",L102*N102)</f>
        <v>22168.296</v>
      </c>
      <c r="P102" s="217">
        <f t="shared" si="43"/>
        <v>19729.78344</v>
      </c>
      <c r="Q102" s="37"/>
    </row>
    <row r="103" spans="1:16" s="37" customFormat="1" ht="12.75">
      <c r="A103" s="28" t="s">
        <v>45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189"/>
      <c r="L103" s="57"/>
      <c r="M103" s="189"/>
      <c r="N103" s="190"/>
      <c r="O103" s="13"/>
      <c r="P103" s="13"/>
    </row>
    <row r="104" spans="1:16" ht="12.75">
      <c r="A104" s="6" t="s">
        <v>92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29"/>
      <c r="P104" s="29"/>
    </row>
    <row r="105" ht="12.75">
      <c r="L105" s="233"/>
    </row>
    <row r="106" spans="2:12" ht="12.75">
      <c r="B106" s="28" t="s">
        <v>45</v>
      </c>
      <c r="F106" s="362" t="s">
        <v>104</v>
      </c>
      <c r="L106" s="233"/>
    </row>
  </sheetData>
  <sheetProtection/>
  <mergeCells count="3">
    <mergeCell ref="I3:K3"/>
    <mergeCell ref="C3:E3"/>
    <mergeCell ref="F3:H3"/>
  </mergeCells>
  <printOptions horizontalCentered="1"/>
  <pageMargins left="0.75" right="0.75" top="0.51" bottom="0.75" header="0.5" footer="0.5"/>
  <pageSetup fitToHeight="1" fitToWidth="1" horizontalDpi="300" verticalDpi="300" orientation="landscape" scale="51" r:id="rId1"/>
  <headerFooter alignWithMargins="0">
    <oddFooter>&amp;L&amp;D&amp;Rpage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4"/>
  <sheetViews>
    <sheetView view="pageBreakPreview" zoomScaleSheetLayoutView="100" zoomScalePageLayoutView="0" workbookViewId="0" topLeftCell="A1">
      <pane xSplit="2" ySplit="5" topLeftCell="C8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0" sqref="G100:I102"/>
    </sheetView>
  </sheetViews>
  <sheetFormatPr defaultColWidth="9.140625" defaultRowHeight="12.75"/>
  <cols>
    <col min="1" max="1" width="2.28125" style="0" customWidth="1"/>
    <col min="2" max="2" width="9.28125" style="0" bestFit="1" customWidth="1"/>
    <col min="3" max="4" width="13.140625" style="0" bestFit="1" customWidth="1"/>
    <col min="5" max="5" width="12.00390625" style="0" bestFit="1" customWidth="1"/>
    <col min="6" max="6" width="11.8515625" style="0" customWidth="1"/>
    <col min="7" max="7" width="13.421875" style="0" bestFit="1" customWidth="1"/>
    <col min="8" max="8" width="14.00390625" style="0" bestFit="1" customWidth="1"/>
    <col min="9" max="9" width="14.140625" style="0" bestFit="1" customWidth="1"/>
    <col min="10" max="10" width="12.28125" style="0" customWidth="1"/>
  </cols>
  <sheetData>
    <row r="1" spans="2:9" ht="18">
      <c r="B1" s="494" t="s">
        <v>73</v>
      </c>
      <c r="C1" s="494"/>
      <c r="D1" s="494"/>
      <c r="E1" s="494"/>
      <c r="F1" s="494"/>
      <c r="G1" s="494"/>
      <c r="H1" s="494"/>
      <c r="I1" s="494"/>
    </row>
    <row r="2" spans="2:9" ht="18">
      <c r="B2" s="495" t="s">
        <v>35</v>
      </c>
      <c r="C2" s="495"/>
      <c r="D2" s="495"/>
      <c r="E2" s="495"/>
      <c r="F2" s="495"/>
      <c r="G2" s="495"/>
      <c r="H2" s="495"/>
      <c r="I2" s="495"/>
    </row>
    <row r="3" spans="5:9" ht="13.5" thickBot="1">
      <c r="E3" s="1">
        <v>1.45</v>
      </c>
      <c r="F3" s="139" t="s">
        <v>86</v>
      </c>
      <c r="I3" s="72">
        <f>SUMMARY!H4</f>
        <v>0.89</v>
      </c>
    </row>
    <row r="4" spans="2:9" ht="12.75">
      <c r="B4" s="3" t="s">
        <v>0</v>
      </c>
      <c r="C4" s="3" t="s">
        <v>2</v>
      </c>
      <c r="D4" s="3" t="s">
        <v>3</v>
      </c>
      <c r="E4" s="3" t="s">
        <v>4</v>
      </c>
      <c r="F4" s="3" t="s">
        <v>4</v>
      </c>
      <c r="G4" s="3" t="s">
        <v>5</v>
      </c>
      <c r="H4" s="3" t="s">
        <v>6</v>
      </c>
      <c r="I4" s="3" t="s">
        <v>76</v>
      </c>
    </row>
    <row r="5" spans="2:9" ht="13.5" thickBot="1">
      <c r="B5" s="8" t="s">
        <v>1</v>
      </c>
      <c r="C5" s="8" t="s">
        <v>3</v>
      </c>
      <c r="D5" s="8" t="s">
        <v>21</v>
      </c>
      <c r="E5" s="8" t="s">
        <v>23</v>
      </c>
      <c r="F5" s="8" t="s">
        <v>20</v>
      </c>
      <c r="G5" s="8" t="s">
        <v>85</v>
      </c>
      <c r="H5" s="8" t="s">
        <v>7</v>
      </c>
      <c r="I5" s="8" t="s">
        <v>7</v>
      </c>
    </row>
    <row r="6" spans="2:10" s="37" customFormat="1" ht="13.5" thickBot="1">
      <c r="B6" s="89">
        <v>37773</v>
      </c>
      <c r="C6" s="90">
        <v>37805</v>
      </c>
      <c r="D6" s="135">
        <v>5647</v>
      </c>
      <c r="E6" s="136"/>
      <c r="F6" s="137"/>
      <c r="G6" s="78"/>
      <c r="H6" s="138"/>
      <c r="I6" s="134"/>
      <c r="J6" s="6"/>
    </row>
    <row r="7" spans="2:10" s="37" customFormat="1" ht="12.75">
      <c r="B7" s="126">
        <v>37803</v>
      </c>
      <c r="C7" s="132">
        <v>37834</v>
      </c>
      <c r="D7" s="107">
        <v>5735.4</v>
      </c>
      <c r="E7" s="82">
        <f aca="true" t="shared" si="0" ref="E7:E15">(D7-D6)*$E$3*100</f>
        <v>12817.999999999947</v>
      </c>
      <c r="F7" s="81">
        <f>E7/1000</f>
        <v>12.817999999999948</v>
      </c>
      <c r="G7" s="91">
        <v>6.126213592233009</v>
      </c>
      <c r="H7" s="129">
        <f>F7*G7</f>
        <v>78.5258058252424</v>
      </c>
      <c r="I7" s="92">
        <f>H7*0.6</f>
        <v>47.11548349514544</v>
      </c>
      <c r="J7" s="6"/>
    </row>
    <row r="8" spans="2:10" s="37" customFormat="1" ht="12.75">
      <c r="B8" s="127">
        <v>37834</v>
      </c>
      <c r="C8" s="75">
        <v>37866</v>
      </c>
      <c r="D8" s="108">
        <v>5837</v>
      </c>
      <c r="E8" s="76">
        <f t="shared" si="0"/>
        <v>14732.000000000053</v>
      </c>
      <c r="F8" s="86">
        <f>E8/1000</f>
        <v>14.732000000000053</v>
      </c>
      <c r="G8" s="77">
        <v>6.126213592233009</v>
      </c>
      <c r="H8" s="130">
        <f>F8*G8</f>
        <v>90.25137864077702</v>
      </c>
      <c r="I8" s="95">
        <f>H8*0.6</f>
        <v>54.15082718446621</v>
      </c>
      <c r="J8" s="6"/>
    </row>
    <row r="9" spans="2:10" s="37" customFormat="1" ht="12.75">
      <c r="B9" s="127">
        <v>37865</v>
      </c>
      <c r="C9" s="75">
        <v>37888</v>
      </c>
      <c r="D9" s="108">
        <v>6698</v>
      </c>
      <c r="E9" s="76">
        <f t="shared" si="0"/>
        <v>124845</v>
      </c>
      <c r="F9" s="86">
        <f>E9/1000</f>
        <v>124.845</v>
      </c>
      <c r="G9" s="77">
        <v>6.126213592233009</v>
      </c>
      <c r="H9" s="130">
        <f>F9*G9</f>
        <v>764.8271359223301</v>
      </c>
      <c r="I9" s="95">
        <f>H9*0.6</f>
        <v>458.896281553398</v>
      </c>
      <c r="J9" s="6"/>
    </row>
    <row r="10" spans="2:9" s="37" customFormat="1" ht="12.75">
      <c r="B10" s="127">
        <v>37895</v>
      </c>
      <c r="C10" s="75">
        <v>37918</v>
      </c>
      <c r="D10" s="108">
        <v>8215</v>
      </c>
      <c r="E10" s="76">
        <f t="shared" si="0"/>
        <v>219965</v>
      </c>
      <c r="F10" s="86">
        <f>E10/1000</f>
        <v>219.965</v>
      </c>
      <c r="G10" s="77">
        <v>6.126213592233009</v>
      </c>
      <c r="H10" s="130">
        <f>F10*G10</f>
        <v>1347.552572815534</v>
      </c>
      <c r="I10" s="95">
        <f>H10*$I$3</f>
        <v>1199.3217898058251</v>
      </c>
    </row>
    <row r="11" spans="2:9" s="37" customFormat="1" ht="12.75">
      <c r="B11" s="127">
        <v>37926</v>
      </c>
      <c r="C11" s="75">
        <v>37946</v>
      </c>
      <c r="D11" s="108">
        <v>9581</v>
      </c>
      <c r="E11" s="76">
        <f t="shared" si="0"/>
        <v>198070</v>
      </c>
      <c r="F11" s="86">
        <f>E11/1000</f>
        <v>198.07</v>
      </c>
      <c r="G11" s="77">
        <v>6.126213592233009</v>
      </c>
      <c r="H11" s="130">
        <f>F11*G11</f>
        <v>1213.419126213592</v>
      </c>
      <c r="I11" s="95">
        <f aca="true" t="shared" si="1" ref="I11:I18">H11*$I$3</f>
        <v>1079.943022330097</v>
      </c>
    </row>
    <row r="12" spans="2:9" s="40" customFormat="1" ht="12.75">
      <c r="B12" s="128">
        <v>37956</v>
      </c>
      <c r="C12" s="133"/>
      <c r="D12" s="115">
        <v>11000</v>
      </c>
      <c r="E12" s="155">
        <f t="shared" si="0"/>
        <v>205754.99999999997</v>
      </c>
      <c r="F12" s="140">
        <f aca="true" t="shared" si="2" ref="F12:F18">E12/1000</f>
        <v>205.75499999999997</v>
      </c>
      <c r="G12" s="156">
        <v>6.126213592233009</v>
      </c>
      <c r="H12" s="131">
        <f aca="true" t="shared" si="3" ref="H12:H17">F12*G12</f>
        <v>1260.4990776699026</v>
      </c>
      <c r="I12" s="118">
        <f t="shared" si="1"/>
        <v>1121.8441791262132</v>
      </c>
    </row>
    <row r="13" spans="2:9" s="37" customFormat="1" ht="12.75">
      <c r="B13" s="127">
        <v>37987</v>
      </c>
      <c r="C13" s="75">
        <v>38015</v>
      </c>
      <c r="D13" s="108">
        <v>12707</v>
      </c>
      <c r="E13" s="76">
        <f t="shared" si="0"/>
        <v>247515</v>
      </c>
      <c r="F13" s="86">
        <f t="shared" si="2"/>
        <v>247.515</v>
      </c>
      <c r="G13" s="77">
        <v>6.126213592233009</v>
      </c>
      <c r="H13" s="130">
        <f t="shared" si="3"/>
        <v>1516.3297572815532</v>
      </c>
      <c r="I13" s="95">
        <f t="shared" si="1"/>
        <v>1349.5334839805823</v>
      </c>
    </row>
    <row r="14" spans="2:9" s="37" customFormat="1" ht="12.75">
      <c r="B14" s="127">
        <v>38018</v>
      </c>
      <c r="C14" s="75">
        <v>38042</v>
      </c>
      <c r="D14" s="108">
        <v>14159</v>
      </c>
      <c r="E14" s="76">
        <f t="shared" si="0"/>
        <v>210540</v>
      </c>
      <c r="F14" s="86">
        <f t="shared" si="2"/>
        <v>210.54</v>
      </c>
      <c r="G14" s="77">
        <v>6.126213592233009</v>
      </c>
      <c r="H14" s="130">
        <f t="shared" si="3"/>
        <v>1289.8130097087378</v>
      </c>
      <c r="I14" s="95">
        <f t="shared" si="1"/>
        <v>1147.9335786407767</v>
      </c>
    </row>
    <row r="15" spans="2:9" s="37" customFormat="1" ht="12.75">
      <c r="B15" s="127">
        <v>38047</v>
      </c>
      <c r="C15" s="75">
        <v>38069</v>
      </c>
      <c r="D15" s="108">
        <v>15515</v>
      </c>
      <c r="E15" s="76">
        <f t="shared" si="0"/>
        <v>196620</v>
      </c>
      <c r="F15" s="86">
        <f t="shared" si="2"/>
        <v>196.62</v>
      </c>
      <c r="G15" s="77">
        <v>6.126213592233009</v>
      </c>
      <c r="H15" s="130">
        <f t="shared" si="3"/>
        <v>1204.5361165048544</v>
      </c>
      <c r="I15" s="95">
        <f t="shared" si="1"/>
        <v>1072.0371436893204</v>
      </c>
    </row>
    <row r="16" spans="2:9" s="37" customFormat="1" ht="12.75">
      <c r="B16" s="127">
        <v>38078</v>
      </c>
      <c r="C16" s="75">
        <v>38104</v>
      </c>
      <c r="D16" s="108">
        <v>17062</v>
      </c>
      <c r="E16" s="76">
        <f>(D16-D15)*$E$3*100</f>
        <v>224315</v>
      </c>
      <c r="F16" s="86">
        <f t="shared" si="2"/>
        <v>224.315</v>
      </c>
      <c r="G16" s="77">
        <v>6.126213592233009</v>
      </c>
      <c r="H16" s="130">
        <f>F16*G16</f>
        <v>1374.2016019417474</v>
      </c>
      <c r="I16" s="95">
        <f t="shared" si="1"/>
        <v>1223.0394257281553</v>
      </c>
    </row>
    <row r="17" spans="2:9" s="37" customFormat="1" ht="12.75">
      <c r="B17" s="127">
        <v>38108</v>
      </c>
      <c r="C17" s="75">
        <v>38133</v>
      </c>
      <c r="D17" s="108">
        <v>17941</v>
      </c>
      <c r="E17" s="76">
        <f>(D17-D16)*$E$3*100</f>
        <v>127455</v>
      </c>
      <c r="F17" s="86">
        <f t="shared" si="2"/>
        <v>127.455</v>
      </c>
      <c r="G17" s="77">
        <v>6.126213592233009</v>
      </c>
      <c r="H17" s="130">
        <f t="shared" si="3"/>
        <v>780.8165533980582</v>
      </c>
      <c r="I17" s="95">
        <f t="shared" si="1"/>
        <v>694.9267325242718</v>
      </c>
    </row>
    <row r="18" spans="2:9" s="37" customFormat="1" ht="13.5" thickBot="1">
      <c r="B18" s="93">
        <v>38139</v>
      </c>
      <c r="C18" s="94">
        <v>38161</v>
      </c>
      <c r="D18" s="276">
        <v>18869</v>
      </c>
      <c r="E18" s="277">
        <f>(D18-D17)*$E$3*100</f>
        <v>134560</v>
      </c>
      <c r="F18" s="100">
        <f t="shared" si="2"/>
        <v>134.56</v>
      </c>
      <c r="G18" s="278">
        <v>6.126213592233009</v>
      </c>
      <c r="H18" s="279">
        <f>F18*G18</f>
        <v>824.3433009708738</v>
      </c>
      <c r="I18" s="98">
        <f t="shared" si="1"/>
        <v>733.6655378640777</v>
      </c>
    </row>
    <row r="19" spans="2:9" s="37" customFormat="1" ht="12.75">
      <c r="B19" s="126">
        <v>38189</v>
      </c>
      <c r="C19" s="132">
        <v>38195</v>
      </c>
      <c r="D19" s="107">
        <v>19776</v>
      </c>
      <c r="E19" s="82">
        <f>(D19-D18)*$E$3*100</f>
        <v>131515</v>
      </c>
      <c r="F19" s="81">
        <f>E19/1000</f>
        <v>131.515</v>
      </c>
      <c r="G19" s="91">
        <v>6.504854368932038</v>
      </c>
      <c r="H19" s="129">
        <f>F19*G19</f>
        <v>855.4859223300969</v>
      </c>
      <c r="I19" s="92">
        <f>H19*$I$3</f>
        <v>761.3824708737862</v>
      </c>
    </row>
    <row r="20" spans="2:9" s="37" customFormat="1" ht="12.75">
      <c r="B20" s="127">
        <v>38200</v>
      </c>
      <c r="C20" s="75">
        <v>38229</v>
      </c>
      <c r="D20" s="108">
        <v>20651</v>
      </c>
      <c r="E20" s="76">
        <f aca="true" t="shared" si="4" ref="E20:E30">IF(D20="",0,(D20-D19)*$E$3*100)</f>
        <v>126875</v>
      </c>
      <c r="F20" s="86">
        <f aca="true" t="shared" si="5" ref="F20:F30">E20/1000</f>
        <v>126.875</v>
      </c>
      <c r="G20" s="77">
        <v>6.504854368932038</v>
      </c>
      <c r="H20" s="130">
        <f aca="true" t="shared" si="6" ref="H20:H30">F20*G20</f>
        <v>825.3033980582522</v>
      </c>
      <c r="I20" s="95">
        <f aca="true" t="shared" si="7" ref="I20:I30">H20*$I$3</f>
        <v>734.5200242718445</v>
      </c>
    </row>
    <row r="21" spans="2:9" s="37" customFormat="1" ht="12.75">
      <c r="B21" s="127">
        <v>38231</v>
      </c>
      <c r="C21" s="75">
        <v>38257</v>
      </c>
      <c r="D21" s="108">
        <v>21917</v>
      </c>
      <c r="E21" s="76">
        <f t="shared" si="4"/>
        <v>183570</v>
      </c>
      <c r="F21" s="86">
        <f t="shared" si="5"/>
        <v>183.57</v>
      </c>
      <c r="G21" s="77">
        <v>6.504854368932038</v>
      </c>
      <c r="H21" s="130">
        <f t="shared" si="6"/>
        <v>1194.096116504854</v>
      </c>
      <c r="I21" s="95">
        <f t="shared" si="7"/>
        <v>1062.7455436893201</v>
      </c>
    </row>
    <row r="22" spans="2:9" s="37" customFormat="1" ht="12.75">
      <c r="B22" s="127">
        <v>38261</v>
      </c>
      <c r="C22" s="75">
        <v>38288</v>
      </c>
      <c r="D22" s="108">
        <v>23941</v>
      </c>
      <c r="E22" s="76">
        <f t="shared" si="4"/>
        <v>293480</v>
      </c>
      <c r="F22" s="86">
        <f t="shared" si="5"/>
        <v>293.48</v>
      </c>
      <c r="G22" s="77">
        <v>6.504854368932038</v>
      </c>
      <c r="H22" s="130">
        <f t="shared" si="6"/>
        <v>1909.0446601941746</v>
      </c>
      <c r="I22" s="95">
        <f t="shared" si="7"/>
        <v>1699.0497475728155</v>
      </c>
    </row>
    <row r="23" spans="2:9" s="37" customFormat="1" ht="12.75">
      <c r="B23" s="127">
        <v>38292</v>
      </c>
      <c r="C23" s="75">
        <v>38320</v>
      </c>
      <c r="D23" s="108">
        <v>25529</v>
      </c>
      <c r="E23" s="76">
        <f t="shared" si="4"/>
        <v>230260</v>
      </c>
      <c r="F23" s="86">
        <f t="shared" si="5"/>
        <v>230.26</v>
      </c>
      <c r="G23" s="77">
        <v>6.504854368932038</v>
      </c>
      <c r="H23" s="130">
        <f t="shared" si="6"/>
        <v>1497.807766990291</v>
      </c>
      <c r="I23" s="95">
        <f t="shared" si="7"/>
        <v>1333.048912621359</v>
      </c>
    </row>
    <row r="24" spans="2:9" s="37" customFormat="1" ht="12.75">
      <c r="B24" s="127">
        <v>38322</v>
      </c>
      <c r="C24" s="75">
        <v>38355</v>
      </c>
      <c r="D24" s="108">
        <v>26896</v>
      </c>
      <c r="E24" s="76">
        <f t="shared" si="4"/>
        <v>198215</v>
      </c>
      <c r="F24" s="86">
        <f t="shared" si="5"/>
        <v>198.215</v>
      </c>
      <c r="G24" s="77">
        <v>6.504854368932038</v>
      </c>
      <c r="H24" s="130">
        <f t="shared" si="6"/>
        <v>1289.359708737864</v>
      </c>
      <c r="I24" s="95">
        <f t="shared" si="7"/>
        <v>1147.530140776699</v>
      </c>
    </row>
    <row r="25" spans="2:9" s="37" customFormat="1" ht="12.75">
      <c r="B25" s="127">
        <v>38353</v>
      </c>
      <c r="C25" s="75">
        <v>38383</v>
      </c>
      <c r="D25" s="108">
        <v>28535</v>
      </c>
      <c r="E25" s="76">
        <f t="shared" si="4"/>
        <v>237654.99999999997</v>
      </c>
      <c r="F25" s="86">
        <f t="shared" si="5"/>
        <v>237.65499999999997</v>
      </c>
      <c r="G25" s="77">
        <v>6.504854368932038</v>
      </c>
      <c r="H25" s="130">
        <f t="shared" si="6"/>
        <v>1545.9111650485434</v>
      </c>
      <c r="I25" s="95">
        <f t="shared" si="7"/>
        <v>1375.8609368932036</v>
      </c>
    </row>
    <row r="26" spans="2:9" s="37" customFormat="1" ht="12.75">
      <c r="B26" s="127">
        <v>38384</v>
      </c>
      <c r="C26" s="75">
        <v>38411</v>
      </c>
      <c r="D26" s="108">
        <v>30186</v>
      </c>
      <c r="E26" s="76">
        <f t="shared" si="4"/>
        <v>239394.99999999997</v>
      </c>
      <c r="F26" s="86">
        <f t="shared" si="5"/>
        <v>239.39499999999998</v>
      </c>
      <c r="G26" s="77">
        <v>6.504854368932038</v>
      </c>
      <c r="H26" s="130">
        <f t="shared" si="6"/>
        <v>1557.2296116504851</v>
      </c>
      <c r="I26" s="95">
        <f t="shared" si="7"/>
        <v>1385.9343543689317</v>
      </c>
    </row>
    <row r="27" spans="2:9" s="37" customFormat="1" ht="12.75">
      <c r="B27" s="127">
        <v>38412</v>
      </c>
      <c r="C27" s="75">
        <v>38433</v>
      </c>
      <c r="D27" s="108">
        <v>31252</v>
      </c>
      <c r="E27" s="76">
        <f t="shared" si="4"/>
        <v>154570</v>
      </c>
      <c r="F27" s="86">
        <f t="shared" si="5"/>
        <v>154.57</v>
      </c>
      <c r="G27" s="77">
        <v>6.504854368932038</v>
      </c>
      <c r="H27" s="130">
        <f t="shared" si="6"/>
        <v>1005.455339805825</v>
      </c>
      <c r="I27" s="95">
        <f t="shared" si="7"/>
        <v>894.8552524271843</v>
      </c>
    </row>
    <row r="28" spans="2:9" s="40" customFormat="1" ht="12.75">
      <c r="B28" s="127">
        <v>38443</v>
      </c>
      <c r="C28" s="75">
        <v>38468</v>
      </c>
      <c r="D28" s="108">
        <v>32908</v>
      </c>
      <c r="E28" s="76">
        <f t="shared" si="4"/>
        <v>240119.99999999997</v>
      </c>
      <c r="F28" s="86">
        <f t="shared" si="5"/>
        <v>240.11999999999998</v>
      </c>
      <c r="G28" s="77">
        <v>6.504854368932038</v>
      </c>
      <c r="H28" s="130">
        <f t="shared" si="6"/>
        <v>1561.9456310679607</v>
      </c>
      <c r="I28" s="95">
        <f t="shared" si="7"/>
        <v>1390.131611650485</v>
      </c>
    </row>
    <row r="29" spans="2:9" s="40" customFormat="1" ht="12.75">
      <c r="B29" s="127">
        <v>38473</v>
      </c>
      <c r="C29" s="75">
        <v>38498</v>
      </c>
      <c r="D29" s="108">
        <v>33769</v>
      </c>
      <c r="E29" s="76">
        <f t="shared" si="4"/>
        <v>124845</v>
      </c>
      <c r="F29" s="86">
        <f t="shared" si="5"/>
        <v>124.845</v>
      </c>
      <c r="G29" s="77">
        <v>6.504854368932038</v>
      </c>
      <c r="H29" s="130">
        <f t="shared" si="6"/>
        <v>812.0985436893202</v>
      </c>
      <c r="I29" s="95">
        <f t="shared" si="7"/>
        <v>722.767703883495</v>
      </c>
    </row>
    <row r="30" spans="2:9" s="40" customFormat="1" ht="13.5" thickBot="1">
      <c r="B30" s="41">
        <v>38504</v>
      </c>
      <c r="C30" s="241">
        <v>38530</v>
      </c>
      <c r="D30" s="266">
        <v>34630</v>
      </c>
      <c r="E30" s="185">
        <f t="shared" si="4"/>
        <v>124845</v>
      </c>
      <c r="F30" s="222">
        <f t="shared" si="5"/>
        <v>124.845</v>
      </c>
      <c r="G30" s="44">
        <v>6.504854368932038</v>
      </c>
      <c r="H30" s="270">
        <f t="shared" si="6"/>
        <v>812.0985436893202</v>
      </c>
      <c r="I30" s="271">
        <f t="shared" si="7"/>
        <v>722.767703883495</v>
      </c>
    </row>
    <row r="31" spans="2:10" s="37" customFormat="1" ht="12.75">
      <c r="B31" s="294">
        <v>38534</v>
      </c>
      <c r="C31" s="132">
        <v>38561</v>
      </c>
      <c r="D31" s="107">
        <v>35458</v>
      </c>
      <c r="E31" s="82">
        <f>IF(D31="","",(D31-D30)*$E$3*100)</f>
        <v>120059.99999999999</v>
      </c>
      <c r="F31" s="81">
        <f>IF(E31="","",E31/1000)</f>
        <v>120.05999999999999</v>
      </c>
      <c r="G31" s="77">
        <v>6.848543689320389</v>
      </c>
      <c r="H31" s="129">
        <f>IF(E31="","",F31*G31)</f>
        <v>822.2361553398058</v>
      </c>
      <c r="I31" s="92">
        <f>IF(H31="","",H31*$I$3)</f>
        <v>731.7901782524272</v>
      </c>
      <c r="J31" s="6"/>
    </row>
    <row r="32" spans="2:10" s="37" customFormat="1" ht="12.75">
      <c r="B32" s="295">
        <v>38565</v>
      </c>
      <c r="C32" s="75">
        <v>38593</v>
      </c>
      <c r="D32" s="108">
        <v>36245</v>
      </c>
      <c r="E32" s="76">
        <f>IF(D32="","",(D32-D31)*$E$3*100)</f>
        <v>114114.99999999999</v>
      </c>
      <c r="F32" s="86">
        <f aca="true" t="shared" si="8" ref="F32:F95">IF(E32="","",E32/1000)</f>
        <v>114.11499999999998</v>
      </c>
      <c r="G32" s="77">
        <v>6.848543689320389</v>
      </c>
      <c r="H32" s="130">
        <f aca="true" t="shared" si="9" ref="H32:H42">IF(E32="","",F32*G32)</f>
        <v>781.5215631067961</v>
      </c>
      <c r="I32" s="95">
        <f aca="true" t="shared" si="10" ref="I32:I95">IF(H32="","",H32*$I$3)</f>
        <v>695.5541911650486</v>
      </c>
      <c r="J32" s="6"/>
    </row>
    <row r="33" spans="2:10" s="37" customFormat="1" ht="12.75">
      <c r="B33" s="295">
        <v>38596</v>
      </c>
      <c r="C33" s="75">
        <v>38624</v>
      </c>
      <c r="D33" s="108">
        <v>37388</v>
      </c>
      <c r="E33" s="76">
        <f>IF(D33="","",(D33-D32)*$E$3*100)</f>
        <v>165735</v>
      </c>
      <c r="F33" s="86">
        <f t="shared" si="8"/>
        <v>165.735</v>
      </c>
      <c r="G33" s="77">
        <v>6.848543689320389</v>
      </c>
      <c r="H33" s="130">
        <f t="shared" si="9"/>
        <v>1135.0433883495148</v>
      </c>
      <c r="I33" s="95">
        <f t="shared" si="10"/>
        <v>1010.1886156310682</v>
      </c>
      <c r="J33" s="6"/>
    </row>
    <row r="34" spans="2:9" s="40" customFormat="1" ht="12.75">
      <c r="B34" s="295">
        <v>38626</v>
      </c>
      <c r="C34" s="75">
        <v>38652</v>
      </c>
      <c r="D34" s="108">
        <v>38222.4</v>
      </c>
      <c r="E34" s="76">
        <f aca="true" t="shared" si="11" ref="E34:E42">IF(D34="","",(D34-D33)*$E$3*100)</f>
        <v>120988.00000000022</v>
      </c>
      <c r="F34" s="86">
        <f t="shared" si="8"/>
        <v>120.98800000000021</v>
      </c>
      <c r="G34" s="77">
        <v>6.848543689320389</v>
      </c>
      <c r="H34" s="130">
        <f t="shared" si="9"/>
        <v>828.5916038834966</v>
      </c>
      <c r="I34" s="95">
        <f t="shared" si="10"/>
        <v>737.446527456312</v>
      </c>
    </row>
    <row r="35" spans="2:9" s="40" customFormat="1" ht="12.75">
      <c r="B35" s="295">
        <v>38657</v>
      </c>
      <c r="C35" s="75">
        <v>38679</v>
      </c>
      <c r="D35" s="108">
        <v>39996</v>
      </c>
      <c r="E35" s="76">
        <f t="shared" si="11"/>
        <v>257171.9999999998</v>
      </c>
      <c r="F35" s="86">
        <f t="shared" si="8"/>
        <v>257.1719999999998</v>
      </c>
      <c r="G35" s="77">
        <v>6.848543689320389</v>
      </c>
      <c r="H35" s="130">
        <f t="shared" si="9"/>
        <v>1761.2536776699017</v>
      </c>
      <c r="I35" s="95">
        <f t="shared" si="10"/>
        <v>1567.5157731262125</v>
      </c>
    </row>
    <row r="36" spans="2:9" s="40" customFormat="1" ht="12.75">
      <c r="B36" s="295">
        <v>38687</v>
      </c>
      <c r="C36" s="75">
        <v>38701</v>
      </c>
      <c r="D36" s="108">
        <v>41230</v>
      </c>
      <c r="E36" s="76">
        <f t="shared" si="11"/>
        <v>178930</v>
      </c>
      <c r="F36" s="86">
        <f t="shared" si="8"/>
        <v>178.93</v>
      </c>
      <c r="G36" s="77">
        <v>6.848543689320389</v>
      </c>
      <c r="H36" s="130">
        <f t="shared" si="9"/>
        <v>1225.4099223300973</v>
      </c>
      <c r="I36" s="95">
        <f t="shared" si="10"/>
        <v>1090.6148308737866</v>
      </c>
    </row>
    <row r="37" spans="2:9" s="40" customFormat="1" ht="12.75">
      <c r="B37" s="295">
        <v>38718</v>
      </c>
      <c r="C37" s="75">
        <v>38736</v>
      </c>
      <c r="D37" s="108">
        <v>42701</v>
      </c>
      <c r="E37" s="76">
        <f t="shared" si="11"/>
        <v>213294.99999999997</v>
      </c>
      <c r="F37" s="86">
        <f t="shared" si="8"/>
        <v>213.29499999999996</v>
      </c>
      <c r="G37" s="77">
        <v>6.848543689320389</v>
      </c>
      <c r="H37" s="130">
        <f t="shared" si="9"/>
        <v>1460.760126213592</v>
      </c>
      <c r="I37" s="95">
        <f t="shared" si="10"/>
        <v>1300.0765123300969</v>
      </c>
    </row>
    <row r="38" spans="2:9" s="40" customFormat="1" ht="12.75">
      <c r="B38" s="295">
        <v>38749</v>
      </c>
      <c r="C38" s="75">
        <v>38764</v>
      </c>
      <c r="D38" s="108">
        <v>44597</v>
      </c>
      <c r="E38" s="76">
        <f t="shared" si="11"/>
        <v>274920</v>
      </c>
      <c r="F38" s="86">
        <f t="shared" si="8"/>
        <v>274.92</v>
      </c>
      <c r="G38" s="77">
        <v>6.848543689320389</v>
      </c>
      <c r="H38" s="130">
        <f t="shared" si="9"/>
        <v>1882.8016310679614</v>
      </c>
      <c r="I38" s="95">
        <f t="shared" si="10"/>
        <v>1675.6934516504857</v>
      </c>
    </row>
    <row r="39" spans="2:9" s="40" customFormat="1" ht="12.75">
      <c r="B39" s="295">
        <v>38777</v>
      </c>
      <c r="C39" s="75">
        <v>38791</v>
      </c>
      <c r="D39" s="108">
        <v>46188</v>
      </c>
      <c r="E39" s="76">
        <f t="shared" si="11"/>
        <v>230694.99999999997</v>
      </c>
      <c r="F39" s="86">
        <f t="shared" si="8"/>
        <v>230.69499999999996</v>
      </c>
      <c r="G39" s="77">
        <v>6.848543689320389</v>
      </c>
      <c r="H39" s="130">
        <f t="shared" si="9"/>
        <v>1579.9247864077668</v>
      </c>
      <c r="I39" s="95">
        <f t="shared" si="10"/>
        <v>1406.1330599029125</v>
      </c>
    </row>
    <row r="40" spans="2:9" s="40" customFormat="1" ht="12.75">
      <c r="B40" s="295">
        <v>38808</v>
      </c>
      <c r="C40" s="75">
        <f>'HTHW Usage'!C41</f>
        <v>38824</v>
      </c>
      <c r="D40" s="108">
        <v>48060</v>
      </c>
      <c r="E40" s="76">
        <f t="shared" si="11"/>
        <v>271440</v>
      </c>
      <c r="F40" s="86">
        <f t="shared" si="8"/>
        <v>271.44</v>
      </c>
      <c r="G40" s="77">
        <v>6.848543689320389</v>
      </c>
      <c r="H40" s="130">
        <f t="shared" si="9"/>
        <v>1858.9686990291264</v>
      </c>
      <c r="I40" s="95">
        <f t="shared" si="10"/>
        <v>1654.4821421359225</v>
      </c>
    </row>
    <row r="41" spans="2:9" s="40" customFormat="1" ht="12.75">
      <c r="B41" s="296">
        <v>38838</v>
      </c>
      <c r="C41" s="75">
        <v>38856</v>
      </c>
      <c r="D41" s="108">
        <v>49137</v>
      </c>
      <c r="E41" s="76">
        <f t="shared" si="11"/>
        <v>156165</v>
      </c>
      <c r="F41" s="86">
        <f t="shared" si="8"/>
        <v>156.165</v>
      </c>
      <c r="G41" s="77">
        <v>6.848543689320389</v>
      </c>
      <c r="H41" s="130">
        <f t="shared" si="9"/>
        <v>1069.5028252427185</v>
      </c>
      <c r="I41" s="95">
        <f t="shared" si="10"/>
        <v>951.8575144660194</v>
      </c>
    </row>
    <row r="42" spans="2:9" s="40" customFormat="1" ht="13.5" thickBot="1">
      <c r="B42" s="297">
        <v>38869</v>
      </c>
      <c r="C42" s="75">
        <v>38882</v>
      </c>
      <c r="D42" s="108">
        <v>49703</v>
      </c>
      <c r="E42" s="76">
        <f t="shared" si="11"/>
        <v>82070</v>
      </c>
      <c r="F42" s="86">
        <f t="shared" si="8"/>
        <v>82.07</v>
      </c>
      <c r="G42" s="44">
        <v>6.848543689320389</v>
      </c>
      <c r="H42" s="130">
        <f t="shared" si="9"/>
        <v>562.0599805825242</v>
      </c>
      <c r="I42" s="95">
        <f t="shared" si="10"/>
        <v>500.23338271844653</v>
      </c>
    </row>
    <row r="43" spans="2:10" s="37" customFormat="1" ht="12.75">
      <c r="B43" s="294">
        <v>38899</v>
      </c>
      <c r="C43" s="132">
        <v>38915</v>
      </c>
      <c r="D43" s="107">
        <v>50492.97</v>
      </c>
      <c r="E43" s="82">
        <f>IF(D43="","",(D43-D42)*$E$3*100)</f>
        <v>114545.65000000015</v>
      </c>
      <c r="F43" s="81">
        <f>IF(E43="","",E43/1000)</f>
        <v>114.54565000000015</v>
      </c>
      <c r="G43" s="77">
        <v>10.019417475728154</v>
      </c>
      <c r="H43" s="129">
        <f>IF(E43="","",F43*G43)</f>
        <v>1147.6806873786422</v>
      </c>
      <c r="I43" s="92">
        <f>IF(H43="","",H43*$I$3)</f>
        <v>1021.4358117669916</v>
      </c>
      <c r="J43" s="6"/>
    </row>
    <row r="44" spans="2:10" s="37" customFormat="1" ht="12.75">
      <c r="B44" s="295">
        <v>38930</v>
      </c>
      <c r="C44" s="75">
        <v>38944</v>
      </c>
      <c r="D44" s="108">
        <v>51183.77</v>
      </c>
      <c r="E44" s="76">
        <f>IF(D44="","",(D44-D43)*$E$3*100)</f>
        <v>100165.99999999936</v>
      </c>
      <c r="F44" s="86">
        <f t="shared" si="8"/>
        <v>100.16599999999936</v>
      </c>
      <c r="G44" s="77">
        <v>10.019417475728154</v>
      </c>
      <c r="H44" s="130">
        <f aca="true" t="shared" si="12" ref="H44:H54">IF(E44="","",F44*G44)</f>
        <v>1003.6049708737798</v>
      </c>
      <c r="I44" s="95">
        <f t="shared" si="10"/>
        <v>893.2084240776641</v>
      </c>
      <c r="J44" s="6"/>
    </row>
    <row r="45" spans="2:10" s="37" customFormat="1" ht="12.75">
      <c r="B45" s="295">
        <v>38961</v>
      </c>
      <c r="C45" s="75">
        <v>38975</v>
      </c>
      <c r="D45" s="108">
        <v>52613</v>
      </c>
      <c r="E45" s="76">
        <f>IF(D45="","",(D45-D44)*$E$3*100)</f>
        <v>207238.35000000044</v>
      </c>
      <c r="F45" s="86">
        <f t="shared" si="8"/>
        <v>207.23835000000045</v>
      </c>
      <c r="G45" s="77">
        <v>10.019417475728154</v>
      </c>
      <c r="H45" s="130">
        <f t="shared" si="12"/>
        <v>2076.4075456310725</v>
      </c>
      <c r="I45" s="95">
        <f t="shared" si="10"/>
        <v>1848.0027156116546</v>
      </c>
      <c r="J45" s="6"/>
    </row>
    <row r="46" spans="2:9" s="40" customFormat="1" ht="12.75">
      <c r="B46" s="295">
        <v>38991</v>
      </c>
      <c r="C46" s="75">
        <v>39005</v>
      </c>
      <c r="D46" s="108">
        <v>54806</v>
      </c>
      <c r="E46" s="76">
        <f aca="true" t="shared" si="13" ref="E46:E52">IF(D46="","",(D46-D45)*$E$3*100)</f>
        <v>317985</v>
      </c>
      <c r="F46" s="86">
        <f t="shared" si="8"/>
        <v>317.985</v>
      </c>
      <c r="G46" s="77">
        <v>10.019417475728154</v>
      </c>
      <c r="H46" s="130">
        <f t="shared" si="12"/>
        <v>3186.024466019417</v>
      </c>
      <c r="I46" s="95">
        <f t="shared" si="10"/>
        <v>2835.5617747572815</v>
      </c>
    </row>
    <row r="47" spans="2:9" s="40" customFormat="1" ht="12.75">
      <c r="B47" s="295">
        <v>39022</v>
      </c>
      <c r="C47" s="75">
        <v>39036</v>
      </c>
      <c r="D47" s="108">
        <v>56924</v>
      </c>
      <c r="E47" s="76">
        <f t="shared" si="13"/>
        <v>307110</v>
      </c>
      <c r="F47" s="86">
        <f t="shared" si="8"/>
        <v>307.11</v>
      </c>
      <c r="G47" s="77">
        <v>10.019417475728154</v>
      </c>
      <c r="H47" s="130">
        <f t="shared" si="12"/>
        <v>3077.0633009708736</v>
      </c>
      <c r="I47" s="95">
        <f t="shared" si="10"/>
        <v>2738.5863378640774</v>
      </c>
    </row>
    <row r="48" spans="2:9" s="40" customFormat="1" ht="12.75">
      <c r="B48" s="295">
        <v>39052</v>
      </c>
      <c r="C48" s="75">
        <v>39066</v>
      </c>
      <c r="D48" s="108">
        <v>59255</v>
      </c>
      <c r="E48" s="76">
        <f t="shared" si="13"/>
        <v>337995</v>
      </c>
      <c r="F48" s="86">
        <f t="shared" si="8"/>
        <v>337.995</v>
      </c>
      <c r="G48" s="77">
        <v>10.019417475728154</v>
      </c>
      <c r="H48" s="130">
        <f t="shared" si="12"/>
        <v>3386.5130097087376</v>
      </c>
      <c r="I48" s="95">
        <f t="shared" si="10"/>
        <v>3013.9965786407765</v>
      </c>
    </row>
    <row r="49" spans="2:9" s="40" customFormat="1" ht="12.75">
      <c r="B49" s="295">
        <v>39083</v>
      </c>
      <c r="C49" s="75">
        <v>38732</v>
      </c>
      <c r="D49" s="108">
        <v>60519</v>
      </c>
      <c r="E49" s="76">
        <f t="shared" si="13"/>
        <v>183280</v>
      </c>
      <c r="F49" s="86">
        <f t="shared" si="8"/>
        <v>183.28</v>
      </c>
      <c r="G49" s="77">
        <v>10.019417475728154</v>
      </c>
      <c r="H49" s="130">
        <f t="shared" si="12"/>
        <v>1836.3588349514562</v>
      </c>
      <c r="I49" s="95">
        <f t="shared" si="10"/>
        <v>1634.359363106796</v>
      </c>
    </row>
    <row r="50" spans="2:9" s="40" customFormat="1" ht="12.75">
      <c r="B50" s="295">
        <v>39114</v>
      </c>
      <c r="C50" s="75">
        <v>39128</v>
      </c>
      <c r="D50" s="108">
        <v>63008</v>
      </c>
      <c r="E50" s="76">
        <f t="shared" si="13"/>
        <v>360905</v>
      </c>
      <c r="F50" s="86">
        <f t="shared" si="8"/>
        <v>360.905</v>
      </c>
      <c r="G50" s="77">
        <v>10.019417475728154</v>
      </c>
      <c r="H50" s="130">
        <f t="shared" si="12"/>
        <v>3616.0578640776694</v>
      </c>
      <c r="I50" s="95">
        <f t="shared" si="10"/>
        <v>3218.2914990291256</v>
      </c>
    </row>
    <row r="51" spans="2:9" s="40" customFormat="1" ht="12.75">
      <c r="B51" s="295">
        <v>39142</v>
      </c>
      <c r="C51" s="75">
        <v>39156</v>
      </c>
      <c r="D51" s="108">
        <v>66117</v>
      </c>
      <c r="E51" s="76">
        <f t="shared" si="13"/>
        <v>450805</v>
      </c>
      <c r="F51" s="86">
        <f t="shared" si="8"/>
        <v>450.805</v>
      </c>
      <c r="G51" s="77">
        <v>10.019417475728154</v>
      </c>
      <c r="H51" s="130">
        <f t="shared" si="12"/>
        <v>4516.803495145631</v>
      </c>
      <c r="I51" s="95">
        <f t="shared" si="10"/>
        <v>4019.9551106796116</v>
      </c>
    </row>
    <row r="52" spans="2:9" s="40" customFormat="1" ht="12.75">
      <c r="B52" s="295">
        <v>39173</v>
      </c>
      <c r="C52" s="75">
        <v>39188</v>
      </c>
      <c r="D52" s="108">
        <v>68141</v>
      </c>
      <c r="E52" s="76">
        <f t="shared" si="13"/>
        <v>293480</v>
      </c>
      <c r="F52" s="86">
        <f t="shared" si="8"/>
        <v>293.48</v>
      </c>
      <c r="G52" s="77">
        <v>10.019417475728154</v>
      </c>
      <c r="H52" s="130">
        <f t="shared" si="12"/>
        <v>2940.4986407766987</v>
      </c>
      <c r="I52" s="95">
        <f t="shared" si="10"/>
        <v>2617.0437902912618</v>
      </c>
    </row>
    <row r="53" spans="2:9" s="40" customFormat="1" ht="12.75">
      <c r="B53" s="296">
        <v>39203</v>
      </c>
      <c r="C53" s="75">
        <v>39219</v>
      </c>
      <c r="D53" s="108">
        <v>68528</v>
      </c>
      <c r="E53" s="76">
        <f aca="true" t="shared" si="14" ref="E53:E66">IF(D53="","",(D53-D52)*$E$3*100)</f>
        <v>56115</v>
      </c>
      <c r="F53" s="86">
        <f t="shared" si="8"/>
        <v>56.115</v>
      </c>
      <c r="G53" s="77">
        <v>10.019417475728154</v>
      </c>
      <c r="H53" s="130">
        <f t="shared" si="12"/>
        <v>562.2396116504854</v>
      </c>
      <c r="I53" s="95">
        <f t="shared" si="10"/>
        <v>500.393254368932</v>
      </c>
    </row>
    <row r="54" spans="2:10" s="40" customFormat="1" ht="13.5" thickBot="1">
      <c r="B54" s="297">
        <v>39234</v>
      </c>
      <c r="C54" s="75">
        <v>39246</v>
      </c>
      <c r="D54" s="108">
        <v>69252</v>
      </c>
      <c r="E54" s="76">
        <f t="shared" si="14"/>
        <v>104980</v>
      </c>
      <c r="F54" s="86">
        <f t="shared" si="8"/>
        <v>104.98</v>
      </c>
      <c r="G54" s="44">
        <v>10.019417475728154</v>
      </c>
      <c r="H54" s="130">
        <f t="shared" si="12"/>
        <v>1051.8384466019418</v>
      </c>
      <c r="I54" s="95">
        <f t="shared" si="10"/>
        <v>936.1362174757282</v>
      </c>
      <c r="J54" s="329">
        <f>SUM(I43:I54)</f>
        <v>25276.970877669897</v>
      </c>
    </row>
    <row r="55" spans="2:9" s="37" customFormat="1" ht="12.75">
      <c r="B55" s="294">
        <v>39264</v>
      </c>
      <c r="C55" s="132">
        <v>39280</v>
      </c>
      <c r="D55" s="338">
        <v>70183</v>
      </c>
      <c r="E55" s="82">
        <f t="shared" si="14"/>
        <v>134995</v>
      </c>
      <c r="F55" s="81">
        <f>IF(E55="","",E55/1000)</f>
        <v>134.995</v>
      </c>
      <c r="G55" s="152">
        <v>11.106796116504851</v>
      </c>
      <c r="H55" s="129">
        <f>IF(E55="","",F55*G55)</f>
        <v>1499.3619417475725</v>
      </c>
      <c r="I55" s="92">
        <f>IF(H55="","",H55*$I$3)</f>
        <v>1334.4321281553396</v>
      </c>
    </row>
    <row r="56" spans="2:9" s="37" customFormat="1" ht="12.75">
      <c r="B56" s="295">
        <v>39295</v>
      </c>
      <c r="C56" s="75">
        <v>39309</v>
      </c>
      <c r="D56" s="339">
        <v>71004</v>
      </c>
      <c r="E56" s="76">
        <f t="shared" si="14"/>
        <v>119045</v>
      </c>
      <c r="F56" s="86">
        <f t="shared" si="8"/>
        <v>119.045</v>
      </c>
      <c r="G56" s="153">
        <v>11.106796116504851</v>
      </c>
      <c r="H56" s="130">
        <f aca="true" t="shared" si="15" ref="H56:H66">IF(E56="","",F56*G56)</f>
        <v>1322.20854368932</v>
      </c>
      <c r="I56" s="95">
        <f t="shared" si="10"/>
        <v>1176.7656038834948</v>
      </c>
    </row>
    <row r="57" spans="2:9" s="37" customFormat="1" ht="12.75">
      <c r="B57" s="295">
        <v>39326</v>
      </c>
      <c r="C57" s="75">
        <v>39344</v>
      </c>
      <c r="D57" s="339">
        <v>72299</v>
      </c>
      <c r="E57" s="76">
        <f t="shared" si="14"/>
        <v>187775</v>
      </c>
      <c r="F57" s="86">
        <f t="shared" si="8"/>
        <v>187.775</v>
      </c>
      <c r="G57" s="153">
        <v>11.106796116504851</v>
      </c>
      <c r="H57" s="130">
        <f t="shared" si="15"/>
        <v>2085.5786407766986</v>
      </c>
      <c r="I57" s="95">
        <f t="shared" si="10"/>
        <v>1856.1649902912618</v>
      </c>
    </row>
    <row r="58" spans="2:10" s="40" customFormat="1" ht="12.75">
      <c r="B58" s="295">
        <v>39356</v>
      </c>
      <c r="C58" s="75">
        <v>39370</v>
      </c>
      <c r="D58" s="339">
        <v>73536</v>
      </c>
      <c r="E58" s="76">
        <f t="shared" si="14"/>
        <v>179365</v>
      </c>
      <c r="F58" s="86">
        <f t="shared" si="8"/>
        <v>179.365</v>
      </c>
      <c r="G58" s="153">
        <v>11.106796116504851</v>
      </c>
      <c r="H58" s="130">
        <f t="shared" si="15"/>
        <v>1992.1704854368927</v>
      </c>
      <c r="I58" s="95">
        <f t="shared" si="10"/>
        <v>1773.0317320388344</v>
      </c>
      <c r="J58" s="37"/>
    </row>
    <row r="59" spans="2:9" s="37" customFormat="1" ht="12.75">
      <c r="B59" s="295">
        <v>39387</v>
      </c>
      <c r="C59" s="75">
        <v>39405</v>
      </c>
      <c r="D59" s="76">
        <v>75765</v>
      </c>
      <c r="E59" s="76">
        <f t="shared" si="14"/>
        <v>323205</v>
      </c>
      <c r="F59" s="86">
        <f>IF(E59="","",E59/1000)</f>
        <v>323.205</v>
      </c>
      <c r="G59" s="153">
        <v>11.106796116504851</v>
      </c>
      <c r="H59" s="130">
        <f t="shared" si="15"/>
        <v>3589.7720388349503</v>
      </c>
      <c r="I59" s="95">
        <f t="shared" si="10"/>
        <v>3194.897114563106</v>
      </c>
    </row>
    <row r="60" spans="2:9" s="37" customFormat="1" ht="12.75">
      <c r="B60" s="295">
        <v>39417</v>
      </c>
      <c r="C60" s="75">
        <v>39430</v>
      </c>
      <c r="D60" s="76">
        <v>77776</v>
      </c>
      <c r="E60" s="76">
        <f t="shared" si="14"/>
        <v>291595</v>
      </c>
      <c r="F60" s="86">
        <f>IF(E60="","",E60/1000)</f>
        <v>291.595</v>
      </c>
      <c r="G60" s="153">
        <v>11.106796116504851</v>
      </c>
      <c r="H60" s="130">
        <f>IF(E60="","",F60*G60)</f>
        <v>3238.6862135922324</v>
      </c>
      <c r="I60" s="95">
        <f t="shared" si="10"/>
        <v>2882.430730097087</v>
      </c>
    </row>
    <row r="61" spans="2:9" s="37" customFormat="1" ht="12.75">
      <c r="B61" s="295">
        <v>39448</v>
      </c>
      <c r="C61" s="94">
        <v>39461</v>
      </c>
      <c r="D61" s="76">
        <v>79046</v>
      </c>
      <c r="E61" s="76">
        <f t="shared" si="14"/>
        <v>184150</v>
      </c>
      <c r="F61" s="86">
        <f>IF(E61="","",E61/1000)</f>
        <v>184.15</v>
      </c>
      <c r="G61" s="153">
        <v>11.106796116504851</v>
      </c>
      <c r="H61" s="130">
        <f t="shared" si="15"/>
        <v>2045.3165048543683</v>
      </c>
      <c r="I61" s="95">
        <f t="shared" si="10"/>
        <v>1820.3316893203878</v>
      </c>
    </row>
    <row r="62" spans="2:9" s="37" customFormat="1" ht="12.75">
      <c r="B62" s="295">
        <v>39479</v>
      </c>
      <c r="C62" s="94">
        <v>39492</v>
      </c>
      <c r="D62" s="76">
        <v>81071</v>
      </c>
      <c r="E62" s="76">
        <f t="shared" si="14"/>
        <v>293625</v>
      </c>
      <c r="F62" s="86">
        <f>IF(E62="","",E62/1000)</f>
        <v>293.625</v>
      </c>
      <c r="G62" s="153">
        <v>11.106796116504851</v>
      </c>
      <c r="H62" s="130">
        <f t="shared" si="15"/>
        <v>3261.233009708737</v>
      </c>
      <c r="I62" s="95">
        <f t="shared" si="10"/>
        <v>2902.497378640776</v>
      </c>
    </row>
    <row r="63" spans="2:9" s="37" customFormat="1" ht="12.75">
      <c r="B63" s="295">
        <v>39508</v>
      </c>
      <c r="C63" s="94">
        <v>39525</v>
      </c>
      <c r="D63" s="76">
        <v>84306</v>
      </c>
      <c r="E63" s="76">
        <f t="shared" si="14"/>
        <v>469075</v>
      </c>
      <c r="F63" s="86">
        <f>IF(E63="","",E63/1000)</f>
        <v>469.075</v>
      </c>
      <c r="G63" s="153">
        <v>11.106796116504851</v>
      </c>
      <c r="H63" s="130">
        <f t="shared" si="15"/>
        <v>5209.920388349513</v>
      </c>
      <c r="I63" s="95">
        <f t="shared" si="10"/>
        <v>4636.829145631066</v>
      </c>
    </row>
    <row r="64" spans="2:9" s="37" customFormat="1" ht="12.75">
      <c r="B64" s="295">
        <v>39539</v>
      </c>
      <c r="C64" s="75">
        <v>39553</v>
      </c>
      <c r="D64" s="108">
        <v>86453</v>
      </c>
      <c r="E64" s="76">
        <f t="shared" si="14"/>
        <v>311315</v>
      </c>
      <c r="F64" s="86">
        <f t="shared" si="8"/>
        <v>311.315</v>
      </c>
      <c r="G64" s="153">
        <v>11.106796116504851</v>
      </c>
      <c r="H64" s="130">
        <f t="shared" si="15"/>
        <v>3457.7122330097077</v>
      </c>
      <c r="I64" s="95">
        <f t="shared" si="10"/>
        <v>3077.36388737864</v>
      </c>
    </row>
    <row r="65" spans="2:9" s="37" customFormat="1" ht="12.75">
      <c r="B65" s="296">
        <v>39569</v>
      </c>
      <c r="C65" s="75">
        <v>39583</v>
      </c>
      <c r="D65" s="108">
        <v>87708</v>
      </c>
      <c r="E65" s="76">
        <f>IF(D65="","",(D65-D64)*$E$3*100)</f>
        <v>181975</v>
      </c>
      <c r="F65" s="86">
        <f t="shared" si="8"/>
        <v>181.975</v>
      </c>
      <c r="G65" s="153">
        <v>11.106796116504851</v>
      </c>
      <c r="H65" s="130">
        <f t="shared" si="15"/>
        <v>2021.1592233009703</v>
      </c>
      <c r="I65" s="95">
        <f t="shared" si="10"/>
        <v>1798.8317087378637</v>
      </c>
    </row>
    <row r="66" spans="2:10" s="40" customFormat="1" ht="13.5" thickBot="1">
      <c r="B66" s="297">
        <v>39600</v>
      </c>
      <c r="C66" s="241">
        <v>39617</v>
      </c>
      <c r="D66" s="266">
        <v>88719</v>
      </c>
      <c r="E66" s="185">
        <f t="shared" si="14"/>
        <v>146595</v>
      </c>
      <c r="F66" s="222">
        <f t="shared" si="8"/>
        <v>146.595</v>
      </c>
      <c r="G66" s="153">
        <v>11.106796116504851</v>
      </c>
      <c r="H66" s="270">
        <f t="shared" si="15"/>
        <v>1628.2007766990287</v>
      </c>
      <c r="I66" s="271">
        <f t="shared" si="10"/>
        <v>1449.0986912621356</v>
      </c>
      <c r="J66" s="329">
        <f>SUM(I55:I66)</f>
        <v>27902.674799999993</v>
      </c>
    </row>
    <row r="67" spans="2:9" s="37" customFormat="1" ht="12.75">
      <c r="B67" s="294">
        <v>39630</v>
      </c>
      <c r="C67" s="487">
        <v>39645</v>
      </c>
      <c r="D67" s="488">
        <v>89628</v>
      </c>
      <c r="E67" s="136">
        <f aca="true" t="shared" si="16" ref="E67:E78">IF(D67="","",(D67-D66)*$E$3*100)</f>
        <v>131805</v>
      </c>
      <c r="F67" s="489">
        <f>IF(E67="","",E67/1000)</f>
        <v>131.805</v>
      </c>
      <c r="G67" s="91">
        <v>10.81</v>
      </c>
      <c r="H67" s="129">
        <f aca="true" t="shared" si="17" ref="H67:H72">IF(E67="","",F67*G67)</f>
        <v>1424.8120500000002</v>
      </c>
      <c r="I67" s="92">
        <f>IF(H67="","",H67*$I$3)</f>
        <v>1268.0827245000003</v>
      </c>
    </row>
    <row r="68" spans="2:9" s="37" customFormat="1" ht="12.75">
      <c r="B68" s="295">
        <v>39661</v>
      </c>
      <c r="C68" s="75">
        <v>39678</v>
      </c>
      <c r="D68" s="490">
        <v>90511</v>
      </c>
      <c r="E68" s="76">
        <f t="shared" si="16"/>
        <v>128034.99999999999</v>
      </c>
      <c r="F68" s="491">
        <f t="shared" si="8"/>
        <v>128.035</v>
      </c>
      <c r="G68" s="77">
        <v>10.81</v>
      </c>
      <c r="H68" s="130">
        <f t="shared" si="17"/>
        <v>1384.05835</v>
      </c>
      <c r="I68" s="95">
        <f t="shared" si="10"/>
        <v>1231.8119315000001</v>
      </c>
    </row>
    <row r="69" spans="2:9" s="37" customFormat="1" ht="12.75">
      <c r="B69" s="295">
        <v>39692</v>
      </c>
      <c r="C69" s="75">
        <v>39706</v>
      </c>
      <c r="D69" s="490">
        <v>91689</v>
      </c>
      <c r="E69" s="76">
        <f t="shared" si="16"/>
        <v>170810</v>
      </c>
      <c r="F69" s="491">
        <f t="shared" si="8"/>
        <v>170.81</v>
      </c>
      <c r="G69" s="77">
        <v>10.81</v>
      </c>
      <c r="H69" s="130">
        <f t="shared" si="17"/>
        <v>1846.4561</v>
      </c>
      <c r="I69" s="95">
        <f t="shared" si="10"/>
        <v>1643.345929</v>
      </c>
    </row>
    <row r="70" spans="2:10" s="40" customFormat="1" ht="12.75">
      <c r="B70" s="295">
        <v>39722</v>
      </c>
      <c r="C70" s="75">
        <v>39736</v>
      </c>
      <c r="D70" s="86">
        <v>93202</v>
      </c>
      <c r="E70" s="76">
        <f t="shared" si="16"/>
        <v>219385</v>
      </c>
      <c r="F70" s="491">
        <f t="shared" si="8"/>
        <v>219.385</v>
      </c>
      <c r="G70" s="77">
        <v>10.81</v>
      </c>
      <c r="H70" s="130">
        <f t="shared" si="17"/>
        <v>2371.55185</v>
      </c>
      <c r="I70" s="95">
        <f t="shared" si="10"/>
        <v>2110.6811465</v>
      </c>
      <c r="J70" s="37"/>
    </row>
    <row r="71" spans="2:10" s="40" customFormat="1" ht="12.75">
      <c r="B71" s="295">
        <v>39753</v>
      </c>
      <c r="C71" s="75">
        <v>39770</v>
      </c>
      <c r="D71" s="86">
        <v>95486</v>
      </c>
      <c r="E71" s="76">
        <f t="shared" si="16"/>
        <v>331180</v>
      </c>
      <c r="F71" s="491">
        <f t="shared" si="8"/>
        <v>331.18</v>
      </c>
      <c r="G71" s="77">
        <v>10.81</v>
      </c>
      <c r="H71" s="130">
        <f t="shared" si="17"/>
        <v>3580.0558</v>
      </c>
      <c r="I71" s="95">
        <f t="shared" si="10"/>
        <v>3186.249662</v>
      </c>
      <c r="J71" s="37"/>
    </row>
    <row r="72" spans="2:10" s="40" customFormat="1" ht="12.75">
      <c r="B72" s="295">
        <v>39783</v>
      </c>
      <c r="C72" s="75">
        <v>39797</v>
      </c>
      <c r="D72" s="86">
        <v>97660</v>
      </c>
      <c r="E72" s="76">
        <f t="shared" si="16"/>
        <v>315230</v>
      </c>
      <c r="F72" s="491">
        <f t="shared" si="8"/>
        <v>315.23</v>
      </c>
      <c r="G72" s="77">
        <v>10.81</v>
      </c>
      <c r="H72" s="130">
        <f t="shared" si="17"/>
        <v>3407.6363000000006</v>
      </c>
      <c r="I72" s="95">
        <f t="shared" si="10"/>
        <v>3032.7963070000005</v>
      </c>
      <c r="J72" s="37"/>
    </row>
    <row r="73" spans="2:10" s="40" customFormat="1" ht="12.75">
      <c r="B73" s="295">
        <v>39814</v>
      </c>
      <c r="C73" s="94">
        <v>39829</v>
      </c>
      <c r="D73" s="86">
        <v>99365</v>
      </c>
      <c r="E73" s="76">
        <f t="shared" si="16"/>
        <v>247225</v>
      </c>
      <c r="F73" s="491">
        <f t="shared" si="8"/>
        <v>247.225</v>
      </c>
      <c r="G73" s="77">
        <v>10.81</v>
      </c>
      <c r="H73" s="130">
        <f aca="true" t="shared" si="18" ref="H73:H84">IF(E73="","",F73*G73)</f>
        <v>2672.50225</v>
      </c>
      <c r="I73" s="95">
        <f t="shared" si="10"/>
        <v>2378.5270025</v>
      </c>
      <c r="J73" s="37"/>
    </row>
    <row r="74" spans="2:9" s="37" customFormat="1" ht="12.75">
      <c r="B74" s="295">
        <v>39845</v>
      </c>
      <c r="C74" s="94">
        <v>39861</v>
      </c>
      <c r="D74" s="86">
        <v>101643</v>
      </c>
      <c r="E74" s="76">
        <f t="shared" si="16"/>
        <v>330310</v>
      </c>
      <c r="F74" s="491">
        <f t="shared" si="8"/>
        <v>330.31</v>
      </c>
      <c r="G74" s="77">
        <v>10.81</v>
      </c>
      <c r="H74" s="130">
        <f t="shared" si="18"/>
        <v>3570.6511</v>
      </c>
      <c r="I74" s="95">
        <f t="shared" si="10"/>
        <v>3177.879479</v>
      </c>
    </row>
    <row r="75" spans="2:9" s="37" customFormat="1" ht="12.75">
      <c r="B75" s="295">
        <v>39873</v>
      </c>
      <c r="C75" s="94">
        <v>39889</v>
      </c>
      <c r="D75" s="86">
        <v>103790</v>
      </c>
      <c r="E75" s="76">
        <f t="shared" si="16"/>
        <v>311315</v>
      </c>
      <c r="F75" s="491">
        <f t="shared" si="8"/>
        <v>311.315</v>
      </c>
      <c r="G75" s="77">
        <v>10.81</v>
      </c>
      <c r="H75" s="130">
        <f t="shared" si="18"/>
        <v>3365.31515</v>
      </c>
      <c r="I75" s="95">
        <f t="shared" si="10"/>
        <v>2995.1304835</v>
      </c>
    </row>
    <row r="76" spans="2:9" s="37" customFormat="1" ht="12.75">
      <c r="B76" s="295">
        <v>39904</v>
      </c>
      <c r="C76" s="75">
        <v>39923</v>
      </c>
      <c r="D76" s="491">
        <v>106713</v>
      </c>
      <c r="E76" s="76">
        <f t="shared" si="16"/>
        <v>423834.99999999994</v>
      </c>
      <c r="F76" s="491">
        <f t="shared" si="8"/>
        <v>423.8349999999999</v>
      </c>
      <c r="G76" s="77">
        <v>10.81</v>
      </c>
      <c r="H76" s="130">
        <f t="shared" si="18"/>
        <v>4581.656349999999</v>
      </c>
      <c r="I76" s="95">
        <f t="shared" si="10"/>
        <v>4077.6741514999994</v>
      </c>
    </row>
    <row r="77" spans="2:9" s="37" customFormat="1" ht="12.75">
      <c r="B77" s="296">
        <v>39934</v>
      </c>
      <c r="C77" s="75">
        <v>39948</v>
      </c>
      <c r="D77" s="491">
        <v>107770</v>
      </c>
      <c r="E77" s="76">
        <f t="shared" si="16"/>
        <v>153265</v>
      </c>
      <c r="F77" s="491">
        <f t="shared" si="8"/>
        <v>153.265</v>
      </c>
      <c r="G77" s="77">
        <v>10.81</v>
      </c>
      <c r="H77" s="130">
        <f t="shared" si="18"/>
        <v>1656.7946499999998</v>
      </c>
      <c r="I77" s="95">
        <f t="shared" si="10"/>
        <v>1474.5472384999998</v>
      </c>
    </row>
    <row r="78" spans="2:10" s="37" customFormat="1" ht="13.5" thickBot="1">
      <c r="B78" s="297">
        <v>39965</v>
      </c>
      <c r="C78" s="241">
        <v>39979</v>
      </c>
      <c r="D78" s="491">
        <v>108731</v>
      </c>
      <c r="E78" s="159">
        <f t="shared" si="16"/>
        <v>139345</v>
      </c>
      <c r="F78" s="492">
        <f t="shared" si="8"/>
        <v>139.345</v>
      </c>
      <c r="G78" s="44">
        <v>10.81</v>
      </c>
      <c r="H78" s="270">
        <f t="shared" si="18"/>
        <v>1506.31945</v>
      </c>
      <c r="I78" s="271">
        <f t="shared" si="10"/>
        <v>1340.6243105</v>
      </c>
      <c r="J78" s="329">
        <f>SUM(I67:I78)</f>
        <v>27917.350366</v>
      </c>
    </row>
    <row r="79" spans="2:9" s="37" customFormat="1" ht="12.75">
      <c r="B79" s="294">
        <v>39995</v>
      </c>
      <c r="C79" s="132">
        <v>40011</v>
      </c>
      <c r="D79" s="82">
        <v>109648</v>
      </c>
      <c r="E79" s="136">
        <f aca="true" t="shared" si="19" ref="E79:E101">IF(D79="","",(D79-D78)*$E$3*100)</f>
        <v>132965</v>
      </c>
      <c r="F79" s="489">
        <f>IF(E79="","",E79/1000)</f>
        <v>132.965</v>
      </c>
      <c r="G79" s="91">
        <v>10.36</v>
      </c>
      <c r="H79" s="129">
        <f t="shared" si="18"/>
        <v>1377.5174</v>
      </c>
      <c r="I79" s="92">
        <f>IF(H79="","",H79*$I$3)</f>
        <v>1225.990486</v>
      </c>
    </row>
    <row r="80" spans="2:9" s="37" customFormat="1" ht="12.75">
      <c r="B80" s="295">
        <v>40026</v>
      </c>
      <c r="C80" s="75">
        <v>40042</v>
      </c>
      <c r="D80" s="76">
        <v>111435</v>
      </c>
      <c r="E80" s="76">
        <f t="shared" si="19"/>
        <v>259115</v>
      </c>
      <c r="F80" s="491">
        <f t="shared" si="8"/>
        <v>259.115</v>
      </c>
      <c r="G80" s="77">
        <v>10.36</v>
      </c>
      <c r="H80" s="130">
        <f t="shared" si="18"/>
        <v>2684.4314</v>
      </c>
      <c r="I80" s="95">
        <f t="shared" si="10"/>
        <v>2389.143946</v>
      </c>
    </row>
    <row r="81" spans="2:9" s="37" customFormat="1" ht="12.75">
      <c r="B81" s="295">
        <v>40057</v>
      </c>
      <c r="C81" s="75">
        <v>40071</v>
      </c>
      <c r="D81" s="76">
        <v>114092</v>
      </c>
      <c r="E81" s="76">
        <f t="shared" si="19"/>
        <v>385265</v>
      </c>
      <c r="F81" s="491">
        <f t="shared" si="8"/>
        <v>385.265</v>
      </c>
      <c r="G81" s="77">
        <v>10.36</v>
      </c>
      <c r="H81" s="130">
        <f t="shared" si="18"/>
        <v>3991.3453999999997</v>
      </c>
      <c r="I81" s="95">
        <f t="shared" si="10"/>
        <v>3552.2974059999997</v>
      </c>
    </row>
    <row r="82" spans="2:9" s="40" customFormat="1" ht="12.75">
      <c r="B82" s="295">
        <v>40087</v>
      </c>
      <c r="C82" s="75">
        <v>40102</v>
      </c>
      <c r="D82" s="76">
        <v>115887</v>
      </c>
      <c r="E82" s="76">
        <f t="shared" si="19"/>
        <v>260275</v>
      </c>
      <c r="F82" s="491">
        <f t="shared" si="8"/>
        <v>260.275</v>
      </c>
      <c r="G82" s="77">
        <v>10.36</v>
      </c>
      <c r="H82" s="130">
        <f t="shared" si="18"/>
        <v>2696.4489999999996</v>
      </c>
      <c r="I82" s="95">
        <f t="shared" si="10"/>
        <v>2399.8396099999995</v>
      </c>
    </row>
    <row r="83" spans="2:9" s="40" customFormat="1" ht="12.75">
      <c r="B83" s="295">
        <v>40118</v>
      </c>
      <c r="C83" s="75">
        <v>40133</v>
      </c>
      <c r="D83" s="76">
        <v>117664</v>
      </c>
      <c r="E83" s="76">
        <f t="shared" si="19"/>
        <v>257665</v>
      </c>
      <c r="F83" s="491">
        <f t="shared" si="8"/>
        <v>257.665</v>
      </c>
      <c r="G83" s="77">
        <v>10.36</v>
      </c>
      <c r="H83" s="130">
        <f t="shared" si="18"/>
        <v>2669.4094</v>
      </c>
      <c r="I83" s="95">
        <f t="shared" si="10"/>
        <v>2375.774366</v>
      </c>
    </row>
    <row r="84" spans="2:9" s="40" customFormat="1" ht="12.75">
      <c r="B84" s="295">
        <v>40148</v>
      </c>
      <c r="C84" s="75">
        <v>40162</v>
      </c>
      <c r="D84" s="76">
        <v>119677</v>
      </c>
      <c r="E84" s="76">
        <f t="shared" si="19"/>
        <v>291885</v>
      </c>
      <c r="F84" s="491">
        <f t="shared" si="8"/>
        <v>291.885</v>
      </c>
      <c r="G84" s="77">
        <v>10.36</v>
      </c>
      <c r="H84" s="130">
        <f t="shared" si="18"/>
        <v>3023.9285999999997</v>
      </c>
      <c r="I84" s="95">
        <f t="shared" si="10"/>
        <v>2691.296454</v>
      </c>
    </row>
    <row r="85" spans="2:9" s="37" customFormat="1" ht="12.75">
      <c r="B85" s="295">
        <v>40179</v>
      </c>
      <c r="C85" s="75">
        <v>40193</v>
      </c>
      <c r="D85" s="76">
        <v>121574</v>
      </c>
      <c r="E85" s="76">
        <f t="shared" si="19"/>
        <v>275065</v>
      </c>
      <c r="F85" s="491">
        <f t="shared" si="8"/>
        <v>275.065</v>
      </c>
      <c r="G85" s="77">
        <v>10.36</v>
      </c>
      <c r="H85" s="130">
        <f aca="true" t="shared" si="20" ref="H85:H99">IF(E85="","",F85*G85)</f>
        <v>2849.6733999999997</v>
      </c>
      <c r="I85" s="95">
        <f t="shared" si="10"/>
        <v>2536.2093259999997</v>
      </c>
    </row>
    <row r="86" spans="2:9" s="37" customFormat="1" ht="12.75">
      <c r="B86" s="295">
        <v>40210</v>
      </c>
      <c r="C86" s="75">
        <v>40224</v>
      </c>
      <c r="D86" s="76">
        <v>123471</v>
      </c>
      <c r="E86" s="76">
        <f t="shared" si="19"/>
        <v>275065</v>
      </c>
      <c r="F86" s="491">
        <f t="shared" si="8"/>
        <v>275.065</v>
      </c>
      <c r="G86" s="77">
        <v>10.36</v>
      </c>
      <c r="H86" s="130">
        <f t="shared" si="20"/>
        <v>2849.6733999999997</v>
      </c>
      <c r="I86" s="95">
        <f t="shared" si="10"/>
        <v>2536.2093259999997</v>
      </c>
    </row>
    <row r="87" spans="2:9" s="37" customFormat="1" ht="12.75">
      <c r="B87" s="295">
        <v>40238</v>
      </c>
      <c r="C87" s="75">
        <v>40252</v>
      </c>
      <c r="D87" s="76">
        <v>125976</v>
      </c>
      <c r="E87" s="76">
        <f t="shared" si="19"/>
        <v>363225</v>
      </c>
      <c r="F87" s="491">
        <f t="shared" si="8"/>
        <v>363.225</v>
      </c>
      <c r="G87" s="77">
        <v>10.36</v>
      </c>
      <c r="H87" s="130">
        <f t="shared" si="20"/>
        <v>3763.011</v>
      </c>
      <c r="I87" s="95">
        <f t="shared" si="10"/>
        <v>3349.0797900000002</v>
      </c>
    </row>
    <row r="88" spans="2:9" s="40" customFormat="1" ht="12.75">
      <c r="B88" s="295">
        <v>40269</v>
      </c>
      <c r="C88" s="75">
        <v>40284</v>
      </c>
      <c r="D88" s="76">
        <v>127829</v>
      </c>
      <c r="E88" s="76">
        <f t="shared" si="19"/>
        <v>268685</v>
      </c>
      <c r="F88" s="491">
        <f t="shared" si="8"/>
        <v>268.685</v>
      </c>
      <c r="G88" s="77">
        <v>10.36</v>
      </c>
      <c r="H88" s="130">
        <f t="shared" si="20"/>
        <v>2783.5766</v>
      </c>
      <c r="I88" s="95">
        <f t="shared" si="10"/>
        <v>2477.383174</v>
      </c>
    </row>
    <row r="89" spans="2:9" s="40" customFormat="1" ht="12.75">
      <c r="B89" s="295">
        <v>40299</v>
      </c>
      <c r="C89" s="75">
        <v>40312</v>
      </c>
      <c r="D89" s="76">
        <v>128896</v>
      </c>
      <c r="E89" s="76">
        <f t="shared" si="19"/>
        <v>154715</v>
      </c>
      <c r="F89" s="491">
        <f t="shared" si="8"/>
        <v>154.715</v>
      </c>
      <c r="G89" s="77">
        <v>10.36</v>
      </c>
      <c r="H89" s="130">
        <f t="shared" si="20"/>
        <v>1602.8473999999999</v>
      </c>
      <c r="I89" s="95">
        <f t="shared" si="10"/>
        <v>1426.5341859999999</v>
      </c>
    </row>
    <row r="90" spans="2:10" s="40" customFormat="1" ht="13.5" thickBot="1">
      <c r="B90" s="296">
        <v>40330</v>
      </c>
      <c r="C90" s="94">
        <v>40343</v>
      </c>
      <c r="D90" s="277">
        <v>129829</v>
      </c>
      <c r="E90" s="277">
        <f t="shared" si="19"/>
        <v>135285</v>
      </c>
      <c r="F90" s="493">
        <f t="shared" si="8"/>
        <v>135.285</v>
      </c>
      <c r="G90" s="278">
        <v>10.36</v>
      </c>
      <c r="H90" s="279">
        <f t="shared" si="20"/>
        <v>1401.5526</v>
      </c>
      <c r="I90" s="98">
        <f t="shared" si="10"/>
        <v>1247.381814</v>
      </c>
      <c r="J90" s="391">
        <f>SUM(I79:I90)</f>
        <v>28207.139883999997</v>
      </c>
    </row>
    <row r="91" spans="2:10" s="40" customFormat="1" ht="12.75">
      <c r="B91" s="272">
        <v>40360</v>
      </c>
      <c r="C91" s="273">
        <v>40375</v>
      </c>
      <c r="D91" s="231">
        <v>130763</v>
      </c>
      <c r="E91" s="231">
        <f t="shared" si="19"/>
        <v>135430</v>
      </c>
      <c r="F91" s="357">
        <f t="shared" si="8"/>
        <v>135.43</v>
      </c>
      <c r="G91" s="312">
        <f>Rates!$E$21</f>
        <v>9.66</v>
      </c>
      <c r="H91" s="274">
        <f t="shared" si="20"/>
        <v>1308.2538000000002</v>
      </c>
      <c r="I91" s="245">
        <f t="shared" si="10"/>
        <v>1164.345882</v>
      </c>
      <c r="J91" s="391"/>
    </row>
    <row r="92" spans="2:10" s="40" customFormat="1" ht="12.75">
      <c r="B92" s="275">
        <v>40391</v>
      </c>
      <c r="C92" s="199">
        <v>40406</v>
      </c>
      <c r="D92" s="195">
        <v>131496</v>
      </c>
      <c r="E92" s="195">
        <f t="shared" si="19"/>
        <v>106284.99999999999</v>
      </c>
      <c r="F92" s="356">
        <f t="shared" si="8"/>
        <v>106.28499999999998</v>
      </c>
      <c r="G92" s="200">
        <f>Rates!$E$21</f>
        <v>9.66</v>
      </c>
      <c r="H92" s="201">
        <f t="shared" si="20"/>
        <v>1026.7131</v>
      </c>
      <c r="I92" s="202">
        <f t="shared" si="10"/>
        <v>913.7746589999999</v>
      </c>
      <c r="J92" s="391"/>
    </row>
    <row r="93" spans="2:10" s="40" customFormat="1" ht="13.5" thickBot="1">
      <c r="B93" s="358">
        <v>40422</v>
      </c>
      <c r="C93" s="352">
        <v>40438</v>
      </c>
      <c r="D93" s="361">
        <v>133655</v>
      </c>
      <c r="E93" s="361">
        <f t="shared" si="19"/>
        <v>313055</v>
      </c>
      <c r="F93" s="359">
        <f t="shared" si="8"/>
        <v>313.055</v>
      </c>
      <c r="G93" s="364">
        <f>Rates!$E$21</f>
        <v>9.66</v>
      </c>
      <c r="H93" s="365">
        <f t="shared" si="20"/>
        <v>3024.1113</v>
      </c>
      <c r="I93" s="366">
        <f t="shared" si="10"/>
        <v>2691.459057</v>
      </c>
      <c r="J93" s="391"/>
    </row>
    <row r="94" spans="2:10" s="40" customFormat="1" ht="12.75">
      <c r="B94" s="272">
        <v>40452</v>
      </c>
      <c r="C94" s="450">
        <v>40466</v>
      </c>
      <c r="D94" s="231">
        <v>135240</v>
      </c>
      <c r="E94" s="357">
        <f t="shared" si="19"/>
        <v>229825</v>
      </c>
      <c r="F94" s="357">
        <f t="shared" si="8"/>
        <v>229.825</v>
      </c>
      <c r="G94" s="312">
        <f>Rates!$E$21</f>
        <v>9.66</v>
      </c>
      <c r="H94" s="274">
        <f t="shared" si="20"/>
        <v>2220.1095</v>
      </c>
      <c r="I94" s="245">
        <f t="shared" si="10"/>
        <v>1975.897455</v>
      </c>
      <c r="J94" s="391"/>
    </row>
    <row r="95" spans="2:10" s="40" customFormat="1" ht="12.75">
      <c r="B95" s="275">
        <v>40483</v>
      </c>
      <c r="C95" s="449">
        <v>40497</v>
      </c>
      <c r="D95" s="195">
        <v>137041</v>
      </c>
      <c r="E95" s="356">
        <f t="shared" si="19"/>
        <v>261144.99999999997</v>
      </c>
      <c r="F95" s="356">
        <f t="shared" si="8"/>
        <v>261.145</v>
      </c>
      <c r="G95" s="200">
        <f>Rates!$E$21</f>
        <v>9.66</v>
      </c>
      <c r="H95" s="201">
        <f t="shared" si="20"/>
        <v>2522.6607</v>
      </c>
      <c r="I95" s="202">
        <f t="shared" si="10"/>
        <v>2245.168023</v>
      </c>
      <c r="J95" s="391"/>
    </row>
    <row r="96" spans="2:10" s="40" customFormat="1" ht="13.5" thickBot="1">
      <c r="B96" s="358">
        <v>40513</v>
      </c>
      <c r="C96" s="451">
        <v>40526</v>
      </c>
      <c r="D96" s="361">
        <v>140872</v>
      </c>
      <c r="E96" s="359">
        <f t="shared" si="19"/>
        <v>555495</v>
      </c>
      <c r="F96" s="359">
        <f>IF(E96="","",E96/1000)</f>
        <v>555.495</v>
      </c>
      <c r="G96" s="364">
        <f>Rates!$E$21</f>
        <v>9.66</v>
      </c>
      <c r="H96" s="365">
        <f t="shared" si="20"/>
        <v>5366.0817</v>
      </c>
      <c r="I96" s="366">
        <f aca="true" t="shared" si="21" ref="I96:I102">IF(H96="","",H96*$I$3)</f>
        <v>4775.812713</v>
      </c>
      <c r="J96" s="391"/>
    </row>
    <row r="97" spans="2:10" s="40" customFormat="1" ht="12.75">
      <c r="B97" s="465">
        <v>40544</v>
      </c>
      <c r="C97" s="273">
        <v>40560</v>
      </c>
      <c r="D97" s="466">
        <v>143356</v>
      </c>
      <c r="E97" s="467">
        <f t="shared" si="19"/>
        <v>360180</v>
      </c>
      <c r="F97" s="467">
        <f>IF(E97="","",E97/1000)</f>
        <v>360.18</v>
      </c>
      <c r="G97" s="468">
        <f>Rates!$E$21</f>
        <v>9.66</v>
      </c>
      <c r="H97" s="468">
        <f t="shared" si="20"/>
        <v>3479.3388</v>
      </c>
      <c r="I97" s="469">
        <f t="shared" si="21"/>
        <v>3096.611532</v>
      </c>
      <c r="J97" s="391"/>
    </row>
    <row r="98" spans="2:10" s="40" customFormat="1" ht="12.75">
      <c r="B98" s="462">
        <v>40575</v>
      </c>
      <c r="C98" s="199">
        <v>40588</v>
      </c>
      <c r="D98" s="461">
        <v>145730</v>
      </c>
      <c r="E98" s="460">
        <f t="shared" si="19"/>
        <v>344230</v>
      </c>
      <c r="F98" s="460">
        <f>IF(E98="","",E98/1000)</f>
        <v>344.23</v>
      </c>
      <c r="G98" s="464">
        <f>Rates!$E$21</f>
        <v>9.66</v>
      </c>
      <c r="H98" s="464">
        <f t="shared" si="20"/>
        <v>3325.2618</v>
      </c>
      <c r="I98" s="470">
        <f t="shared" si="21"/>
        <v>2959.4830020000004</v>
      </c>
      <c r="J98" s="391"/>
    </row>
    <row r="99" spans="2:10" s="40" customFormat="1" ht="13.5" thickBot="1">
      <c r="B99" s="351">
        <v>40603</v>
      </c>
      <c r="C99" s="352">
        <v>40620</v>
      </c>
      <c r="D99" s="471">
        <v>148530</v>
      </c>
      <c r="E99" s="472">
        <f>IF(D99="","",(D99-D98)*$E$3*100)</f>
        <v>406000</v>
      </c>
      <c r="F99" s="472">
        <f>IF(E99="","",E99/1000)</f>
        <v>406</v>
      </c>
      <c r="G99" s="473">
        <f>Rates!$E$21</f>
        <v>9.66</v>
      </c>
      <c r="H99" s="473">
        <f t="shared" si="20"/>
        <v>3921.96</v>
      </c>
      <c r="I99" s="474">
        <f t="shared" si="21"/>
        <v>3490.5444</v>
      </c>
      <c r="J99" s="391"/>
    </row>
    <row r="100" spans="2:10" s="40" customFormat="1" ht="12.75">
      <c r="B100" s="452">
        <v>40634</v>
      </c>
      <c r="C100" s="456">
        <v>40648</v>
      </c>
      <c r="D100" s="508">
        <v>150812</v>
      </c>
      <c r="E100" s="467">
        <f t="shared" si="19"/>
        <v>330890</v>
      </c>
      <c r="F100" s="467">
        <f>IF(E100="","",E100/1000)</f>
        <v>330.89</v>
      </c>
      <c r="G100" s="468">
        <f>Rates!$E$21</f>
        <v>9.66</v>
      </c>
      <c r="H100" s="468">
        <f>IF(E100="","",F100*G100)</f>
        <v>3196.3974</v>
      </c>
      <c r="I100" s="469">
        <f t="shared" si="21"/>
        <v>2844.793686</v>
      </c>
      <c r="J100" s="391"/>
    </row>
    <row r="101" spans="2:10" s="40" customFormat="1" ht="12.75">
      <c r="B101" s="275">
        <v>40664</v>
      </c>
      <c r="C101" s="199">
        <v>40679</v>
      </c>
      <c r="D101" s="195">
        <v>152337</v>
      </c>
      <c r="E101" s="460">
        <f t="shared" si="19"/>
        <v>221125</v>
      </c>
      <c r="F101" s="460">
        <f>IF(E101="","",E101/1000)</f>
        <v>221.125</v>
      </c>
      <c r="G101" s="464">
        <f>Rates!$E$21</f>
        <v>9.66</v>
      </c>
      <c r="H101" s="464">
        <f>IF(E101="","",F101*G101)</f>
        <v>2136.0675</v>
      </c>
      <c r="I101" s="470">
        <f t="shared" si="21"/>
        <v>1901.100075</v>
      </c>
      <c r="J101" s="391"/>
    </row>
    <row r="102" spans="2:10" s="40" customFormat="1" ht="13.5" thickBot="1">
      <c r="B102" s="358">
        <v>40695</v>
      </c>
      <c r="C102" s="507">
        <v>40711</v>
      </c>
      <c r="D102" s="509">
        <v>153518</v>
      </c>
      <c r="E102" s="472">
        <f>IF(D102="","",(D102-D101)*$E$3*100)</f>
        <v>171245</v>
      </c>
      <c r="F102" s="472">
        <f>IF(E102="","",E102/1000)</f>
        <v>171.245</v>
      </c>
      <c r="G102" s="473">
        <f>Rates!$E$21</f>
        <v>9.66</v>
      </c>
      <c r="H102" s="473">
        <f>IF(E102="","",F102*G102)</f>
        <v>1654.2267000000002</v>
      </c>
      <c r="I102" s="474">
        <f t="shared" si="21"/>
        <v>1472.2617630000002</v>
      </c>
      <c r="J102" s="391"/>
    </row>
    <row r="104" ht="12.75">
      <c r="B104" s="28" t="s">
        <v>45</v>
      </c>
    </row>
  </sheetData>
  <sheetProtection/>
  <mergeCells count="2">
    <mergeCell ref="B1:I1"/>
    <mergeCell ref="B2:I2"/>
  </mergeCells>
  <printOptions horizontalCentered="1"/>
  <pageMargins left="0.75" right="0.75" top="0.54" bottom="0.76" header="0.5" footer="0.5"/>
  <pageSetup fitToHeight="1" fitToWidth="1" horizontalDpi="300" verticalDpi="300" orientation="landscape" scale="61" r:id="rId1"/>
  <headerFooter alignWithMargins="0">
    <oddFooter>&amp;L&amp;D&amp;Rpage &amp;P of &amp;N</oddFooter>
  </headerFooter>
  <rowBreaks count="1" manualBreakCount="1">
    <brk id="22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8"/>
  <sheetViews>
    <sheetView view="pageBreakPreview" zoomScaleSheetLayoutView="100" zoomScalePageLayoutView="0" workbookViewId="0" topLeftCell="A1">
      <pane xSplit="1" ySplit="6" topLeftCell="F8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92" sqref="K92"/>
    </sheetView>
  </sheetViews>
  <sheetFormatPr defaultColWidth="9.140625" defaultRowHeight="12.75"/>
  <cols>
    <col min="1" max="1" width="9.7109375" style="0" bestFit="1" customWidth="1"/>
    <col min="2" max="2" width="13.57421875" style="0" bestFit="1" customWidth="1"/>
    <col min="3" max="3" width="13.421875" style="0" bestFit="1" customWidth="1"/>
    <col min="4" max="4" width="11.140625" style="0" customWidth="1"/>
    <col min="5" max="5" width="11.8515625" style="0" customWidth="1"/>
    <col min="6" max="7" width="13.28125" style="0" bestFit="1" customWidth="1"/>
    <col min="8" max="8" width="12.00390625" style="0" bestFit="1" customWidth="1"/>
    <col min="9" max="9" width="11.8515625" style="0" customWidth="1"/>
    <col min="10" max="10" width="9.421875" style="0" bestFit="1" customWidth="1"/>
    <col min="11" max="11" width="11.8515625" style="0" customWidth="1"/>
    <col min="12" max="13" width="11.57421875" style="0" bestFit="1" customWidth="1"/>
    <col min="14" max="14" width="13.00390625" style="0" customWidth="1"/>
  </cols>
  <sheetData>
    <row r="1" spans="1:36" ht="18">
      <c r="A1" s="500" t="s">
        <v>73</v>
      </c>
      <c r="B1" s="500"/>
      <c r="C1" s="500"/>
      <c r="D1" s="500"/>
      <c r="E1" s="500"/>
      <c r="F1" s="500"/>
      <c r="G1" s="500"/>
      <c r="H1" s="500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8">
      <c r="A2" s="501" t="s">
        <v>37</v>
      </c>
      <c r="B2" s="501"/>
      <c r="C2" s="501"/>
      <c r="D2" s="501"/>
      <c r="E2" s="501"/>
      <c r="F2" s="501"/>
      <c r="G2" s="501"/>
      <c r="H2" s="50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6.5" customHeight="1" thickBot="1">
      <c r="A4" s="5"/>
      <c r="B4" s="502" t="s">
        <v>97</v>
      </c>
      <c r="C4" s="503"/>
      <c r="D4" s="503"/>
      <c r="E4" s="504"/>
      <c r="F4" s="502" t="s">
        <v>88</v>
      </c>
      <c r="G4" s="503"/>
      <c r="H4" s="503"/>
      <c r="I4" s="504"/>
      <c r="J4" s="5"/>
      <c r="K4" s="5"/>
      <c r="L4" s="5"/>
      <c r="M4" s="206">
        <f>SUMMARY!H4</f>
        <v>0.89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6.5" customHeight="1">
      <c r="A5" s="207" t="s">
        <v>0</v>
      </c>
      <c r="B5" s="207" t="s">
        <v>2</v>
      </c>
      <c r="C5" s="207" t="s">
        <v>3</v>
      </c>
      <c r="D5" s="207" t="s">
        <v>4</v>
      </c>
      <c r="E5" s="207" t="s">
        <v>4</v>
      </c>
      <c r="F5" s="207" t="s">
        <v>2</v>
      </c>
      <c r="G5" s="207" t="s">
        <v>3</v>
      </c>
      <c r="H5" s="207" t="s">
        <v>4</v>
      </c>
      <c r="I5" s="207" t="s">
        <v>4</v>
      </c>
      <c r="J5" s="207" t="s">
        <v>24</v>
      </c>
      <c r="K5" s="207" t="s">
        <v>100</v>
      </c>
      <c r="L5" s="207" t="s">
        <v>6</v>
      </c>
      <c r="M5" s="207" t="s">
        <v>76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6.5" customHeight="1" thickBot="1">
      <c r="A6" s="208" t="s">
        <v>1</v>
      </c>
      <c r="B6" s="208" t="s">
        <v>3</v>
      </c>
      <c r="C6" s="208" t="s">
        <v>22</v>
      </c>
      <c r="D6" s="208" t="s">
        <v>87</v>
      </c>
      <c r="E6" s="208" t="s">
        <v>23</v>
      </c>
      <c r="F6" s="208" t="s">
        <v>3</v>
      </c>
      <c r="G6" s="208" t="s">
        <v>94</v>
      </c>
      <c r="H6" s="208" t="s">
        <v>87</v>
      </c>
      <c r="I6" s="208" t="s">
        <v>23</v>
      </c>
      <c r="J6" s="208" t="s">
        <v>25</v>
      </c>
      <c r="K6" s="208" t="s">
        <v>101</v>
      </c>
      <c r="L6" s="208" t="s">
        <v>7</v>
      </c>
      <c r="M6" s="208" t="s">
        <v>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13" s="37" customFormat="1" ht="13.5" thickBot="1">
      <c r="A7" s="18">
        <v>37773</v>
      </c>
      <c r="B7" s="46">
        <v>37803</v>
      </c>
      <c r="C7" s="163"/>
      <c r="D7" s="159"/>
      <c r="E7" s="159"/>
      <c r="F7" s="46"/>
      <c r="G7" s="163"/>
      <c r="H7" s="159"/>
      <c r="I7" s="159"/>
      <c r="J7" s="160"/>
      <c r="K7" s="160"/>
      <c r="L7" s="161"/>
      <c r="M7" s="162"/>
    </row>
    <row r="8" spans="1:15" s="37" customFormat="1" ht="12.75">
      <c r="A8" s="79">
        <v>37803</v>
      </c>
      <c r="B8" s="80"/>
      <c r="C8" s="166"/>
      <c r="D8" s="164">
        <v>100000</v>
      </c>
      <c r="E8" s="140">
        <f>D8/7.48</f>
        <v>13368.98395721925</v>
      </c>
      <c r="F8" s="132"/>
      <c r="G8" s="81"/>
      <c r="H8" s="155">
        <v>150000</v>
      </c>
      <c r="I8" s="140">
        <f>H8/7.48</f>
        <v>20053.475935828876</v>
      </c>
      <c r="J8" s="83">
        <v>0.035500000000000004</v>
      </c>
      <c r="K8" s="83"/>
      <c r="L8" s="91">
        <f aca="true" t="shared" si="0" ref="L8:L31">(E8+I8)*J8</f>
        <v>1186.4973262032088</v>
      </c>
      <c r="M8" s="91">
        <f>L8*0.6</f>
        <v>711.8983957219252</v>
      </c>
      <c r="O8" s="88"/>
    </row>
    <row r="9" spans="1:13" s="37" customFormat="1" ht="12.75">
      <c r="A9" s="84">
        <v>37834</v>
      </c>
      <c r="B9" s="85"/>
      <c r="C9" s="167"/>
      <c r="D9" s="155">
        <v>100000</v>
      </c>
      <c r="E9" s="140">
        <f>D9/7.48</f>
        <v>13368.98395721925</v>
      </c>
      <c r="F9" s="75"/>
      <c r="G9" s="86"/>
      <c r="H9" s="155">
        <v>150000</v>
      </c>
      <c r="I9" s="140">
        <f>H9/7.48</f>
        <v>20053.475935828876</v>
      </c>
      <c r="J9" s="87">
        <v>0.035500000000000004</v>
      </c>
      <c r="K9" s="87"/>
      <c r="L9" s="77">
        <f t="shared" si="0"/>
        <v>1186.4973262032088</v>
      </c>
      <c r="M9" s="77">
        <f>L9*0.6</f>
        <v>711.8983957219252</v>
      </c>
    </row>
    <row r="10" spans="1:13" s="37" customFormat="1" ht="12.75">
      <c r="A10" s="84">
        <v>37865</v>
      </c>
      <c r="B10" s="75">
        <v>37888</v>
      </c>
      <c r="C10" s="167">
        <v>157.8714024343857</v>
      </c>
      <c r="D10" s="76">
        <f aca="true" t="shared" si="1" ref="D10:D17">(C10-C9)*1000</f>
        <v>157871.40243438567</v>
      </c>
      <c r="E10" s="86">
        <f>D10/7.48</f>
        <v>21105.80246449006</v>
      </c>
      <c r="F10" s="75"/>
      <c r="G10" s="86"/>
      <c r="H10" s="155">
        <v>150000</v>
      </c>
      <c r="I10" s="140">
        <f>H10/7.48</f>
        <v>20053.475935828876</v>
      </c>
      <c r="J10" s="87">
        <v>0.035500000000000004</v>
      </c>
      <c r="K10" s="87"/>
      <c r="L10" s="77">
        <f t="shared" si="0"/>
        <v>1461.1543832113225</v>
      </c>
      <c r="M10" s="77">
        <f>L10*0.6</f>
        <v>876.6926299267935</v>
      </c>
    </row>
    <row r="11" spans="1:13" s="37" customFormat="1" ht="12.75">
      <c r="A11" s="84">
        <v>37895</v>
      </c>
      <c r="B11" s="75">
        <v>37918</v>
      </c>
      <c r="C11" s="117">
        <v>461.5021970330924</v>
      </c>
      <c r="D11" s="76">
        <f t="shared" si="1"/>
        <v>303630.7945987067</v>
      </c>
      <c r="E11" s="86">
        <f aca="true" t="shared" si="2" ref="E11:E19">D11/7.48</f>
        <v>40592.352219078435</v>
      </c>
      <c r="F11" s="75"/>
      <c r="G11" s="76"/>
      <c r="H11" s="155">
        <v>150000</v>
      </c>
      <c r="I11" s="140">
        <f aca="true" t="shared" si="3" ref="I11:I19">H11/7.48</f>
        <v>20053.475935828876</v>
      </c>
      <c r="J11" s="87">
        <v>0.035500000000000004</v>
      </c>
      <c r="K11" s="87"/>
      <c r="L11" s="77">
        <f t="shared" si="0"/>
        <v>2152.92689949921</v>
      </c>
      <c r="M11" s="77">
        <f>L11*0.89</f>
        <v>1916.1049405542967</v>
      </c>
    </row>
    <row r="12" spans="1:13" s="37" customFormat="1" ht="12.75">
      <c r="A12" s="84">
        <v>37926</v>
      </c>
      <c r="B12" s="75">
        <v>37946</v>
      </c>
      <c r="C12" s="117">
        <v>728.4509033853176</v>
      </c>
      <c r="D12" s="76">
        <f t="shared" si="1"/>
        <v>266948.7063522252</v>
      </c>
      <c r="E12" s="86">
        <f t="shared" si="2"/>
        <v>35688.329726233314</v>
      </c>
      <c r="F12" s="75"/>
      <c r="G12" s="76"/>
      <c r="H12" s="155">
        <v>150000</v>
      </c>
      <c r="I12" s="140">
        <f t="shared" si="3"/>
        <v>20053.475935828876</v>
      </c>
      <c r="J12" s="87">
        <v>0.035500000000000004</v>
      </c>
      <c r="K12" s="87"/>
      <c r="L12" s="77">
        <f t="shared" si="0"/>
        <v>1978.8341010032082</v>
      </c>
      <c r="M12" s="77">
        <f aca="true" t="shared" si="4" ref="M12:M19">L12*0.89</f>
        <v>1761.1623498928552</v>
      </c>
    </row>
    <row r="13" spans="1:13" s="37" customFormat="1" ht="12.75">
      <c r="A13" s="84">
        <v>37956</v>
      </c>
      <c r="B13" s="85">
        <v>38350</v>
      </c>
      <c r="C13" s="117">
        <v>1002.4591814378091</v>
      </c>
      <c r="D13" s="76">
        <f t="shared" si="1"/>
        <v>274008.2780524915</v>
      </c>
      <c r="E13" s="86">
        <f t="shared" si="2"/>
        <v>36632.1227342903</v>
      </c>
      <c r="F13" s="75"/>
      <c r="G13" s="76"/>
      <c r="H13" s="155">
        <v>150000</v>
      </c>
      <c r="I13" s="140">
        <f t="shared" si="3"/>
        <v>20053.475935828876</v>
      </c>
      <c r="J13" s="87">
        <v>0.035500000000000004</v>
      </c>
      <c r="K13" s="87"/>
      <c r="L13" s="77">
        <f t="shared" si="0"/>
        <v>2012.3387527892307</v>
      </c>
      <c r="M13" s="77">
        <f t="shared" si="4"/>
        <v>1790.9814899824155</v>
      </c>
    </row>
    <row r="14" spans="1:13" s="37" customFormat="1" ht="12.75">
      <c r="A14" s="84">
        <v>37987</v>
      </c>
      <c r="B14" s="85">
        <v>38015</v>
      </c>
      <c r="C14" s="167">
        <v>1203.0133080639027</v>
      </c>
      <c r="D14" s="76">
        <f t="shared" si="1"/>
        <v>200554.12662609364</v>
      </c>
      <c r="E14" s="86">
        <f t="shared" si="2"/>
        <v>26812.04901418364</v>
      </c>
      <c r="F14" s="75"/>
      <c r="G14" s="86"/>
      <c r="H14" s="155">
        <v>150000</v>
      </c>
      <c r="I14" s="140">
        <f t="shared" si="3"/>
        <v>20053.475935828876</v>
      </c>
      <c r="J14" s="87">
        <v>0.035500000000000004</v>
      </c>
      <c r="K14" s="87"/>
      <c r="L14" s="77">
        <f t="shared" si="0"/>
        <v>1663.7261357254447</v>
      </c>
      <c r="M14" s="77">
        <f t="shared" si="4"/>
        <v>1480.716260795646</v>
      </c>
    </row>
    <row r="15" spans="1:13" s="37" customFormat="1" ht="12.75">
      <c r="A15" s="84">
        <v>38018</v>
      </c>
      <c r="B15" s="85">
        <v>38042</v>
      </c>
      <c r="C15" s="167">
        <v>1651.52450893876</v>
      </c>
      <c r="D15" s="76">
        <f t="shared" si="1"/>
        <v>448511.2008748572</v>
      </c>
      <c r="E15" s="86">
        <f t="shared" si="2"/>
        <v>59961.390491291066</v>
      </c>
      <c r="F15" s="75"/>
      <c r="G15" s="86"/>
      <c r="H15" s="155">
        <v>150000</v>
      </c>
      <c r="I15" s="140">
        <f t="shared" si="3"/>
        <v>20053.475935828876</v>
      </c>
      <c r="J15" s="87">
        <v>0.035500000000000004</v>
      </c>
      <c r="K15" s="87"/>
      <c r="L15" s="77">
        <f t="shared" si="0"/>
        <v>2840.527758162758</v>
      </c>
      <c r="M15" s="77">
        <f t="shared" si="4"/>
        <v>2528.0697047648546</v>
      </c>
    </row>
    <row r="16" spans="1:13" s="37" customFormat="1" ht="12.75">
      <c r="A16" s="84">
        <v>38047</v>
      </c>
      <c r="B16" s="85">
        <v>38069</v>
      </c>
      <c r="C16" s="167">
        <v>1819.57</v>
      </c>
      <c r="D16" s="76">
        <f t="shared" si="1"/>
        <v>168045.49106124</v>
      </c>
      <c r="E16" s="86">
        <f t="shared" si="2"/>
        <v>22465.974740807484</v>
      </c>
      <c r="F16" s="75"/>
      <c r="G16" s="86"/>
      <c r="H16" s="155">
        <v>150000</v>
      </c>
      <c r="I16" s="140">
        <f t="shared" si="3"/>
        <v>20053.475935828876</v>
      </c>
      <c r="J16" s="87">
        <v>0.035500000000000004</v>
      </c>
      <c r="K16" s="87"/>
      <c r="L16" s="77">
        <f t="shared" si="0"/>
        <v>1509.440499020591</v>
      </c>
      <c r="M16" s="77">
        <f t="shared" si="4"/>
        <v>1343.402044128326</v>
      </c>
    </row>
    <row r="17" spans="1:13" s="37" customFormat="1" ht="12.75">
      <c r="A17" s="84">
        <v>38078</v>
      </c>
      <c r="B17" s="85">
        <v>38104</v>
      </c>
      <c r="C17" s="167">
        <v>2328.6</v>
      </c>
      <c r="D17" s="76">
        <f t="shared" si="1"/>
        <v>509030</v>
      </c>
      <c r="E17" s="86">
        <f t="shared" si="2"/>
        <v>68052.13903743315</v>
      </c>
      <c r="F17" s="75"/>
      <c r="G17" s="86"/>
      <c r="H17" s="155">
        <v>150000</v>
      </c>
      <c r="I17" s="140">
        <f t="shared" si="3"/>
        <v>20053.475935828876</v>
      </c>
      <c r="J17" s="87">
        <v>0.035500000000000004</v>
      </c>
      <c r="K17" s="87"/>
      <c r="L17" s="77">
        <f t="shared" si="0"/>
        <v>3127.7493315508023</v>
      </c>
      <c r="M17" s="77">
        <f t="shared" si="4"/>
        <v>2783.696905080214</v>
      </c>
    </row>
    <row r="18" spans="1:13" s="37" customFormat="1" ht="12.75">
      <c r="A18" s="84">
        <v>38108</v>
      </c>
      <c r="B18" s="85">
        <v>38133</v>
      </c>
      <c r="C18" s="167">
        <v>2697.7</v>
      </c>
      <c r="D18" s="76">
        <f>(C18-C17)*1000</f>
        <v>369099.9999999999</v>
      </c>
      <c r="E18" s="86">
        <f t="shared" si="2"/>
        <v>49344.91978609624</v>
      </c>
      <c r="F18" s="75"/>
      <c r="G18" s="86"/>
      <c r="H18" s="155">
        <v>150000</v>
      </c>
      <c r="I18" s="140">
        <f t="shared" si="3"/>
        <v>20053.475935828876</v>
      </c>
      <c r="J18" s="87">
        <v>0.035500000000000004</v>
      </c>
      <c r="K18" s="87"/>
      <c r="L18" s="77">
        <f t="shared" si="0"/>
        <v>2463.643048128342</v>
      </c>
      <c r="M18" s="77">
        <f t="shared" si="4"/>
        <v>2192.6423128342244</v>
      </c>
    </row>
    <row r="19" spans="1:13" s="40" customFormat="1" ht="13.5" thickBot="1">
      <c r="A19" s="42">
        <v>38139</v>
      </c>
      <c r="B19" s="186">
        <v>38161</v>
      </c>
      <c r="C19" s="187">
        <v>3079.4</v>
      </c>
      <c r="D19" s="185">
        <f>(C19-C18)*1000</f>
        <v>381700.0000000003</v>
      </c>
      <c r="E19" s="185">
        <f t="shared" si="2"/>
        <v>51029.41176470592</v>
      </c>
      <c r="F19" s="209"/>
      <c r="G19" s="210"/>
      <c r="H19" s="211">
        <v>150000</v>
      </c>
      <c r="I19" s="210">
        <f t="shared" si="3"/>
        <v>20053.475935828876</v>
      </c>
      <c r="J19" s="188">
        <v>0.035500000000000004</v>
      </c>
      <c r="K19" s="188"/>
      <c r="L19" s="44">
        <f t="shared" si="0"/>
        <v>2523.442513368985</v>
      </c>
      <c r="M19" s="44">
        <f t="shared" si="4"/>
        <v>2245.863836898397</v>
      </c>
    </row>
    <row r="20" spans="1:13" s="37" customFormat="1" ht="12.75">
      <c r="A20" s="84">
        <v>38189</v>
      </c>
      <c r="B20" s="85">
        <v>38195</v>
      </c>
      <c r="C20" s="167">
        <v>3584.4</v>
      </c>
      <c r="D20" s="76">
        <f>(C20-C19)*1000</f>
        <v>505000</v>
      </c>
      <c r="E20" s="86">
        <f>D20/7.48</f>
        <v>67513.36898395722</v>
      </c>
      <c r="F20" s="75">
        <v>38213</v>
      </c>
      <c r="G20" s="86">
        <v>4</v>
      </c>
      <c r="H20" s="155"/>
      <c r="I20" s="140">
        <f>H20/7.48</f>
        <v>0</v>
      </c>
      <c r="J20" s="87">
        <v>0.035500000000000004</v>
      </c>
      <c r="K20" s="87"/>
      <c r="L20" s="77">
        <f t="shared" si="0"/>
        <v>2396.7245989304815</v>
      </c>
      <c r="M20" s="77">
        <f>L20*0.89</f>
        <v>2133.0848930481284</v>
      </c>
    </row>
    <row r="21" spans="1:13" s="37" customFormat="1" ht="12.75">
      <c r="A21" s="84">
        <v>38200</v>
      </c>
      <c r="B21" s="85">
        <v>38229</v>
      </c>
      <c r="C21" s="167">
        <v>4077.3</v>
      </c>
      <c r="D21" s="76">
        <f aca="true" t="shared" si="5" ref="D21:D31">IF(C21="",0,(C21-C20)*1000)</f>
        <v>492900.0000000001</v>
      </c>
      <c r="E21" s="86">
        <f aca="true" t="shared" si="6" ref="E21:E31">D21/7.48</f>
        <v>65895.72192513371</v>
      </c>
      <c r="F21" s="75">
        <v>38229</v>
      </c>
      <c r="G21" s="86">
        <v>1075</v>
      </c>
      <c r="H21" s="155">
        <f aca="true" t="shared" si="7" ref="H21:H31">IF(G21="",0,(G21-G20)*100)</f>
        <v>107100</v>
      </c>
      <c r="I21" s="140">
        <f>(H21/7.48)/(16/34)</f>
        <v>30426.136363636364</v>
      </c>
      <c r="J21" s="87">
        <v>0.035500000000000004</v>
      </c>
      <c r="K21" s="87"/>
      <c r="L21" s="77">
        <f t="shared" si="0"/>
        <v>3419.425969251338</v>
      </c>
      <c r="M21" s="77">
        <f aca="true" t="shared" si="8" ref="M21:M31">L21*0.89</f>
        <v>3043.289112633691</v>
      </c>
    </row>
    <row r="22" spans="1:13" s="37" customFormat="1" ht="12.75">
      <c r="A22" s="84">
        <v>38231</v>
      </c>
      <c r="B22" s="85">
        <v>38257</v>
      </c>
      <c r="C22" s="167">
        <v>4579</v>
      </c>
      <c r="D22" s="76">
        <f t="shared" si="5"/>
        <v>501699.9999999998</v>
      </c>
      <c r="E22" s="86">
        <f t="shared" si="6"/>
        <v>67072.19251336895</v>
      </c>
      <c r="F22" s="75">
        <v>38257</v>
      </c>
      <c r="G22" s="86">
        <v>1573</v>
      </c>
      <c r="H22" s="76">
        <f t="shared" si="7"/>
        <v>49800</v>
      </c>
      <c r="I22" s="86">
        <f aca="true" t="shared" si="9" ref="I22:I31">H22/7.48</f>
        <v>6657.7540106951865</v>
      </c>
      <c r="J22" s="87">
        <v>0.035500000000000004</v>
      </c>
      <c r="K22" s="87"/>
      <c r="L22" s="77">
        <f t="shared" si="0"/>
        <v>2617.4131016042775</v>
      </c>
      <c r="M22" s="77">
        <f t="shared" si="8"/>
        <v>2329.497660427807</v>
      </c>
    </row>
    <row r="23" spans="1:13" s="37" customFormat="1" ht="12.75">
      <c r="A23" s="84">
        <v>38261</v>
      </c>
      <c r="B23" s="85">
        <v>38288</v>
      </c>
      <c r="C23" s="167">
        <v>5148.7</v>
      </c>
      <c r="D23" s="76">
        <f t="shared" si="5"/>
        <v>569699.9999999998</v>
      </c>
      <c r="E23" s="86">
        <f t="shared" si="6"/>
        <v>76163.10160427804</v>
      </c>
      <c r="F23" s="75">
        <v>38288</v>
      </c>
      <c r="G23" s="86">
        <v>3063</v>
      </c>
      <c r="H23" s="76">
        <f t="shared" si="7"/>
        <v>149000</v>
      </c>
      <c r="I23" s="86">
        <f t="shared" si="9"/>
        <v>19919.786096256685</v>
      </c>
      <c r="J23" s="87">
        <v>0.035500000000000004</v>
      </c>
      <c r="K23" s="87"/>
      <c r="L23" s="77">
        <f t="shared" si="0"/>
        <v>3410.942513368983</v>
      </c>
      <c r="M23" s="77">
        <f t="shared" si="8"/>
        <v>3035.7388368983948</v>
      </c>
    </row>
    <row r="24" spans="1:13" s="37" customFormat="1" ht="12.75">
      <c r="A24" s="84">
        <v>38292</v>
      </c>
      <c r="B24" s="85">
        <v>38320</v>
      </c>
      <c r="C24" s="167">
        <v>5617.4</v>
      </c>
      <c r="D24" s="76">
        <f t="shared" si="5"/>
        <v>468699.9999999998</v>
      </c>
      <c r="E24" s="86">
        <f t="shared" si="6"/>
        <v>62660.4278074866</v>
      </c>
      <c r="F24" s="75">
        <v>38320</v>
      </c>
      <c r="G24" s="86">
        <v>3836</v>
      </c>
      <c r="H24" s="76">
        <f t="shared" si="7"/>
        <v>77300</v>
      </c>
      <c r="I24" s="86">
        <f t="shared" si="9"/>
        <v>10334.224598930481</v>
      </c>
      <c r="J24" s="87">
        <v>0.035500000000000004</v>
      </c>
      <c r="K24" s="87"/>
      <c r="L24" s="77">
        <f t="shared" si="0"/>
        <v>2591.3101604278067</v>
      </c>
      <c r="M24" s="77">
        <f t="shared" si="8"/>
        <v>2306.266042780748</v>
      </c>
    </row>
    <row r="25" spans="1:13" s="37" customFormat="1" ht="12.75">
      <c r="A25" s="84">
        <v>38322</v>
      </c>
      <c r="B25" s="85">
        <v>38355</v>
      </c>
      <c r="C25" s="167">
        <v>6062.6</v>
      </c>
      <c r="D25" s="76">
        <f t="shared" si="5"/>
        <v>445200.0000000007</v>
      </c>
      <c r="E25" s="86">
        <f t="shared" si="6"/>
        <v>59518.716577540195</v>
      </c>
      <c r="F25" s="75">
        <f aca="true" t="shared" si="10" ref="F25:F34">IF(B25="","",B25)</f>
        <v>38355</v>
      </c>
      <c r="G25" s="86">
        <v>4149</v>
      </c>
      <c r="H25" s="76">
        <f t="shared" si="7"/>
        <v>31300</v>
      </c>
      <c r="I25" s="86">
        <f t="shared" si="9"/>
        <v>4184.491978609625</v>
      </c>
      <c r="J25" s="87">
        <v>0.035500000000000004</v>
      </c>
      <c r="K25" s="87"/>
      <c r="L25" s="77">
        <f t="shared" si="0"/>
        <v>2261.463903743319</v>
      </c>
      <c r="M25" s="77">
        <f t="shared" si="8"/>
        <v>2012.7028743315539</v>
      </c>
    </row>
    <row r="26" spans="1:13" s="37" customFormat="1" ht="12.75">
      <c r="A26" s="84">
        <v>38353</v>
      </c>
      <c r="B26" s="85">
        <v>38383</v>
      </c>
      <c r="C26" s="167">
        <v>6466.8</v>
      </c>
      <c r="D26" s="76">
        <f t="shared" si="5"/>
        <v>404199.9999999998</v>
      </c>
      <c r="E26" s="86">
        <f t="shared" si="6"/>
        <v>54037.43315508019</v>
      </c>
      <c r="F26" s="75">
        <f t="shared" si="10"/>
        <v>38383</v>
      </c>
      <c r="G26" s="86">
        <v>4625</v>
      </c>
      <c r="H26" s="76">
        <f t="shared" si="7"/>
        <v>47600</v>
      </c>
      <c r="I26" s="86">
        <f t="shared" si="9"/>
        <v>6363.636363636363</v>
      </c>
      <c r="J26" s="87">
        <v>0.035500000000000004</v>
      </c>
      <c r="K26" s="87"/>
      <c r="L26" s="77">
        <f t="shared" si="0"/>
        <v>2144.237967914438</v>
      </c>
      <c r="M26" s="77">
        <f t="shared" si="8"/>
        <v>1908.3717914438496</v>
      </c>
    </row>
    <row r="27" spans="1:13" s="37" customFormat="1" ht="12.75">
      <c r="A27" s="84">
        <v>38384</v>
      </c>
      <c r="B27" s="85">
        <v>38411</v>
      </c>
      <c r="C27" s="167">
        <v>6885</v>
      </c>
      <c r="D27" s="76">
        <f t="shared" si="5"/>
        <v>418199.9999999998</v>
      </c>
      <c r="E27" s="86">
        <f t="shared" si="6"/>
        <v>55909.09090909088</v>
      </c>
      <c r="F27" s="75">
        <f t="shared" si="10"/>
        <v>38411</v>
      </c>
      <c r="G27" s="86">
        <v>5211</v>
      </c>
      <c r="H27" s="76">
        <f t="shared" si="7"/>
        <v>58600</v>
      </c>
      <c r="I27" s="86">
        <f t="shared" si="9"/>
        <v>7834.224598930481</v>
      </c>
      <c r="J27" s="87">
        <v>0.035500000000000004</v>
      </c>
      <c r="K27" s="87"/>
      <c r="L27" s="77">
        <f t="shared" si="0"/>
        <v>2262.8877005347586</v>
      </c>
      <c r="M27" s="77">
        <f t="shared" si="8"/>
        <v>2013.9700534759352</v>
      </c>
    </row>
    <row r="28" spans="1:13" s="37" customFormat="1" ht="12.75">
      <c r="A28" s="84">
        <v>38412</v>
      </c>
      <c r="B28" s="85">
        <v>38433</v>
      </c>
      <c r="C28" s="167">
        <v>7186.4</v>
      </c>
      <c r="D28" s="76">
        <f t="shared" si="5"/>
        <v>301399.99999999965</v>
      </c>
      <c r="E28" s="86">
        <f t="shared" si="6"/>
        <v>40294.117647058774</v>
      </c>
      <c r="F28" s="75">
        <f t="shared" si="10"/>
        <v>38433</v>
      </c>
      <c r="G28" s="86">
        <v>5536</v>
      </c>
      <c r="H28" s="76">
        <f t="shared" si="7"/>
        <v>32500</v>
      </c>
      <c r="I28" s="86">
        <f t="shared" si="9"/>
        <v>4344.919786096257</v>
      </c>
      <c r="J28" s="87">
        <v>0.035500000000000004</v>
      </c>
      <c r="K28" s="87"/>
      <c r="L28" s="77">
        <f t="shared" si="0"/>
        <v>1584.6858288770038</v>
      </c>
      <c r="M28" s="77">
        <f t="shared" si="8"/>
        <v>1410.3703877005335</v>
      </c>
    </row>
    <row r="29" spans="1:13" s="37" customFormat="1" ht="12.75">
      <c r="A29" s="84">
        <v>38443</v>
      </c>
      <c r="B29" s="85">
        <v>38468</v>
      </c>
      <c r="C29" s="167">
        <v>7715.1</v>
      </c>
      <c r="D29" s="76">
        <f t="shared" si="5"/>
        <v>528700.0000000007</v>
      </c>
      <c r="E29" s="86">
        <f t="shared" si="6"/>
        <v>70681.81818181828</v>
      </c>
      <c r="F29" s="75">
        <f t="shared" si="10"/>
        <v>38468</v>
      </c>
      <c r="G29" s="86">
        <v>6860</v>
      </c>
      <c r="H29" s="76">
        <f t="shared" si="7"/>
        <v>132400</v>
      </c>
      <c r="I29" s="86">
        <f t="shared" si="9"/>
        <v>17700.53475935829</v>
      </c>
      <c r="J29" s="87">
        <v>0.035500000000000004</v>
      </c>
      <c r="K29" s="87"/>
      <c r="L29" s="77">
        <f t="shared" si="0"/>
        <v>3137.5735294117685</v>
      </c>
      <c r="M29" s="77">
        <f t="shared" si="8"/>
        <v>2792.440441176474</v>
      </c>
    </row>
    <row r="30" spans="1:13" s="37" customFormat="1" ht="12.75">
      <c r="A30" s="84">
        <v>38473</v>
      </c>
      <c r="B30" s="85">
        <v>38498</v>
      </c>
      <c r="C30" s="167">
        <v>8152.6</v>
      </c>
      <c r="D30" s="76">
        <f t="shared" si="5"/>
        <v>437500</v>
      </c>
      <c r="E30" s="86">
        <f t="shared" si="6"/>
        <v>58489.30481283422</v>
      </c>
      <c r="F30" s="75">
        <f t="shared" si="10"/>
        <v>38498</v>
      </c>
      <c r="G30" s="86">
        <v>7894</v>
      </c>
      <c r="H30" s="76">
        <f t="shared" si="7"/>
        <v>103400</v>
      </c>
      <c r="I30" s="86">
        <f t="shared" si="9"/>
        <v>13823.529411764704</v>
      </c>
      <c r="J30" s="87">
        <v>0.035500000000000004</v>
      </c>
      <c r="K30" s="87"/>
      <c r="L30" s="77">
        <f t="shared" si="0"/>
        <v>2567.1056149732617</v>
      </c>
      <c r="M30" s="77">
        <f t="shared" si="8"/>
        <v>2284.723997326203</v>
      </c>
    </row>
    <row r="31" spans="1:13" s="40" customFormat="1" ht="12.75">
      <c r="A31" s="84">
        <v>38504</v>
      </c>
      <c r="B31" s="85">
        <v>38530</v>
      </c>
      <c r="C31" s="167">
        <v>8573.5</v>
      </c>
      <c r="D31" s="76">
        <f t="shared" si="5"/>
        <v>420899.99999999965</v>
      </c>
      <c r="E31" s="86">
        <f t="shared" si="6"/>
        <v>56270.053475935776</v>
      </c>
      <c r="F31" s="75">
        <f t="shared" si="10"/>
        <v>38530</v>
      </c>
      <c r="G31" s="86">
        <v>9313</v>
      </c>
      <c r="H31" s="76">
        <f t="shared" si="7"/>
        <v>141900</v>
      </c>
      <c r="I31" s="86">
        <f t="shared" si="9"/>
        <v>18970.588235294115</v>
      </c>
      <c r="J31" s="87">
        <v>0.035500000000000004</v>
      </c>
      <c r="K31" s="87"/>
      <c r="L31" s="77">
        <f t="shared" si="0"/>
        <v>2671.0427807486617</v>
      </c>
      <c r="M31" s="77">
        <f t="shared" si="8"/>
        <v>2377.228074866309</v>
      </c>
    </row>
    <row r="32" spans="1:13" s="37" customFormat="1" ht="12.75">
      <c r="A32" s="84">
        <v>38534</v>
      </c>
      <c r="B32" s="85">
        <v>38561</v>
      </c>
      <c r="C32" s="167">
        <v>9000.3</v>
      </c>
      <c r="D32" s="76">
        <f>IF(C32="","",(C32-C31)*1000)</f>
        <v>426799.9999999993</v>
      </c>
      <c r="E32" s="86">
        <f>IF(D32="","",D32/7.48)</f>
        <v>57058.82352941167</v>
      </c>
      <c r="F32" s="75">
        <f t="shared" si="10"/>
        <v>38561</v>
      </c>
      <c r="G32" s="86">
        <v>13310</v>
      </c>
      <c r="H32" s="76">
        <f>IF(G32="","",(G32-G31)*100)</f>
        <v>399700</v>
      </c>
      <c r="I32" s="86">
        <f>IF(H32="","",H32/7.48)</f>
        <v>53435.82887700535</v>
      </c>
      <c r="J32" s="87">
        <v>0.035500000000000004</v>
      </c>
      <c r="K32" s="87"/>
      <c r="L32" s="77">
        <f>IF(I32="","",(E32+I32)*J32)</f>
        <v>3922.560160427804</v>
      </c>
      <c r="M32" s="77">
        <f>IF(L32="","",L32*0.89)</f>
        <v>3491.0785427807455</v>
      </c>
    </row>
    <row r="33" spans="1:13" s="37" customFormat="1" ht="12.75">
      <c r="A33" s="84">
        <v>38565</v>
      </c>
      <c r="B33" s="85">
        <v>38593</v>
      </c>
      <c r="C33" s="167">
        <v>9520.8</v>
      </c>
      <c r="D33" s="76">
        <f>IF(C33="","",(C33-C32)*1000)</f>
        <v>520500</v>
      </c>
      <c r="E33" s="86">
        <f aca="true" t="shared" si="11" ref="E33:E60">IF(D33="","",D33/7.48)</f>
        <v>69585.5614973262</v>
      </c>
      <c r="F33" s="75">
        <f t="shared" si="10"/>
        <v>38593</v>
      </c>
      <c r="G33" s="86">
        <v>17177</v>
      </c>
      <c r="H33" s="76">
        <f>IF(G33="","",(G33-G32)*100)</f>
        <v>386700</v>
      </c>
      <c r="I33" s="86">
        <f aca="true" t="shared" si="12" ref="I33:I60">IF(H33="","",H33/7.48)</f>
        <v>51697.86096256684</v>
      </c>
      <c r="J33" s="87">
        <v>0.035500000000000004</v>
      </c>
      <c r="K33" s="87"/>
      <c r="L33" s="77">
        <f aca="true" t="shared" si="13" ref="L33:L43">IF(I33="","",(E33+I33)*J33)</f>
        <v>4305.561497326204</v>
      </c>
      <c r="M33" s="77">
        <f aca="true" t="shared" si="14" ref="M33:M91">IF(L33="","",L33*0.89)</f>
        <v>3831.9497326203214</v>
      </c>
    </row>
    <row r="34" spans="1:13" s="37" customFormat="1" ht="12.75">
      <c r="A34" s="84">
        <v>38596</v>
      </c>
      <c r="B34" s="85">
        <v>38623</v>
      </c>
      <c r="C34" s="167">
        <v>9963.22</v>
      </c>
      <c r="D34" s="76">
        <f>IF(C34="","",(C34-C33)*1000)</f>
        <v>442420.00000000006</v>
      </c>
      <c r="E34" s="86">
        <f t="shared" si="11"/>
        <v>59147.05882352941</v>
      </c>
      <c r="F34" s="75">
        <f t="shared" si="10"/>
        <v>38623</v>
      </c>
      <c r="G34" s="86">
        <v>20393</v>
      </c>
      <c r="H34" s="76">
        <f>IF(G34="","",(G34-G33)*100)</f>
        <v>321600</v>
      </c>
      <c r="I34" s="86">
        <f t="shared" si="12"/>
        <v>42994.65240641711</v>
      </c>
      <c r="J34" s="87">
        <v>0.035500000000000004</v>
      </c>
      <c r="K34" s="87"/>
      <c r="L34" s="77">
        <f t="shared" si="13"/>
        <v>3626.030748663102</v>
      </c>
      <c r="M34" s="77">
        <f t="shared" si="14"/>
        <v>3227.1673663101606</v>
      </c>
    </row>
    <row r="35" spans="1:13" s="37" customFormat="1" ht="12.75">
      <c r="A35" s="84">
        <v>38626</v>
      </c>
      <c r="B35" s="85">
        <v>38652</v>
      </c>
      <c r="C35" s="167">
        <v>10356.5</v>
      </c>
      <c r="D35" s="76">
        <f aca="true" t="shared" si="15" ref="D35:D43">IF(C35="","",(C35-C34)*1000)</f>
        <v>393280.00000000064</v>
      </c>
      <c r="E35" s="86">
        <f t="shared" si="11"/>
        <v>52577.54010695196</v>
      </c>
      <c r="F35" s="75">
        <f aca="true" t="shared" si="16" ref="F35:F46">IF(B35="","",B35)</f>
        <v>38652</v>
      </c>
      <c r="G35" s="86">
        <v>21970</v>
      </c>
      <c r="H35" s="76">
        <f aca="true" t="shared" si="17" ref="H35:H43">IF(G35="","",(G35-G34)*100)</f>
        <v>157700</v>
      </c>
      <c r="I35" s="86">
        <f t="shared" si="12"/>
        <v>21082.887700534757</v>
      </c>
      <c r="J35" s="87">
        <v>0.035500000000000004</v>
      </c>
      <c r="K35" s="87"/>
      <c r="L35" s="77">
        <f t="shared" si="13"/>
        <v>2614.945187165779</v>
      </c>
      <c r="M35" s="77">
        <f t="shared" si="14"/>
        <v>2327.301216577543</v>
      </c>
    </row>
    <row r="36" spans="1:13" s="37" customFormat="1" ht="12.75">
      <c r="A36" s="84">
        <v>38657</v>
      </c>
      <c r="B36" s="85">
        <v>38679</v>
      </c>
      <c r="C36" s="167">
        <v>10656.4</v>
      </c>
      <c r="D36" s="76">
        <f t="shared" si="15"/>
        <v>299899.99999999965</v>
      </c>
      <c r="E36" s="86">
        <f t="shared" si="11"/>
        <v>40093.58288770048</v>
      </c>
      <c r="F36" s="75">
        <f t="shared" si="16"/>
        <v>38679</v>
      </c>
      <c r="G36" s="86">
        <v>22744</v>
      </c>
      <c r="H36" s="76">
        <f t="shared" si="17"/>
        <v>77400</v>
      </c>
      <c r="I36" s="86">
        <f t="shared" si="12"/>
        <v>10347.593582887699</v>
      </c>
      <c r="J36" s="87">
        <v>0.035500000000000004</v>
      </c>
      <c r="K36" s="87"/>
      <c r="L36" s="77">
        <f>IF(I36="","",(E36+I36)*J36)</f>
        <v>1790.6617647058806</v>
      </c>
      <c r="M36" s="77">
        <f t="shared" si="14"/>
        <v>1593.6889705882338</v>
      </c>
    </row>
    <row r="37" spans="1:13" s="37" customFormat="1" ht="12.75">
      <c r="A37" s="84">
        <v>38687</v>
      </c>
      <c r="B37" s="85">
        <v>38701</v>
      </c>
      <c r="C37" s="167">
        <v>10836.9</v>
      </c>
      <c r="D37" s="76">
        <f t="shared" si="15"/>
        <v>180500</v>
      </c>
      <c r="E37" s="86">
        <f t="shared" si="11"/>
        <v>24131.016042780746</v>
      </c>
      <c r="F37" s="75">
        <f t="shared" si="16"/>
        <v>38701</v>
      </c>
      <c r="G37" s="86">
        <v>24516</v>
      </c>
      <c r="H37" s="76">
        <f t="shared" si="17"/>
        <v>177200</v>
      </c>
      <c r="I37" s="86">
        <f t="shared" si="12"/>
        <v>23689.83957219251</v>
      </c>
      <c r="J37" s="87">
        <v>0.035500000000000004</v>
      </c>
      <c r="K37" s="87"/>
      <c r="L37" s="77">
        <f t="shared" si="13"/>
        <v>1697.640374331551</v>
      </c>
      <c r="M37" s="77">
        <f t="shared" si="14"/>
        <v>1510.8999331550804</v>
      </c>
    </row>
    <row r="38" spans="1:13" s="37" customFormat="1" ht="12.75">
      <c r="A38" s="84">
        <v>38718</v>
      </c>
      <c r="B38" s="85">
        <v>38736</v>
      </c>
      <c r="C38" s="167">
        <v>11125.7</v>
      </c>
      <c r="D38" s="76">
        <f t="shared" si="15"/>
        <v>288800.0000000011</v>
      </c>
      <c r="E38" s="86">
        <f t="shared" si="11"/>
        <v>38609.62566844934</v>
      </c>
      <c r="F38" s="75">
        <f t="shared" si="16"/>
        <v>38736</v>
      </c>
      <c r="G38" s="86">
        <v>24912</v>
      </c>
      <c r="H38" s="76">
        <f t="shared" si="17"/>
        <v>39600</v>
      </c>
      <c r="I38" s="86">
        <f t="shared" si="12"/>
        <v>5294.117647058823</v>
      </c>
      <c r="J38" s="87">
        <v>0.035500000000000004</v>
      </c>
      <c r="K38" s="87"/>
      <c r="L38" s="77">
        <f t="shared" si="13"/>
        <v>1558.5828877005401</v>
      </c>
      <c r="M38" s="77">
        <f t="shared" si="14"/>
        <v>1387.1387700534808</v>
      </c>
    </row>
    <row r="39" spans="1:13" s="37" customFormat="1" ht="12.75">
      <c r="A39" s="84">
        <v>38749</v>
      </c>
      <c r="B39" s="85">
        <v>38764</v>
      </c>
      <c r="C39" s="167">
        <v>11433.6</v>
      </c>
      <c r="D39" s="76">
        <f t="shared" si="15"/>
        <v>307899.99999999965</v>
      </c>
      <c r="E39" s="86">
        <f t="shared" si="11"/>
        <v>41163.101604278025</v>
      </c>
      <c r="F39" s="75">
        <f t="shared" si="16"/>
        <v>38764</v>
      </c>
      <c r="G39" s="86">
        <v>25591</v>
      </c>
      <c r="H39" s="76">
        <f t="shared" si="17"/>
        <v>67900</v>
      </c>
      <c r="I39" s="86">
        <f t="shared" si="12"/>
        <v>9077.54010695187</v>
      </c>
      <c r="J39" s="87">
        <v>0.035500000000000004</v>
      </c>
      <c r="K39" s="87"/>
      <c r="L39" s="77">
        <f t="shared" si="13"/>
        <v>1783.5427807486615</v>
      </c>
      <c r="M39" s="77">
        <f t="shared" si="14"/>
        <v>1587.3530748663088</v>
      </c>
    </row>
    <row r="40" spans="1:13" s="37" customFormat="1" ht="12.75">
      <c r="A40" s="84">
        <v>38777</v>
      </c>
      <c r="B40" s="85">
        <v>38791</v>
      </c>
      <c r="C40" s="167">
        <v>11675.5</v>
      </c>
      <c r="D40" s="76">
        <f t="shared" si="15"/>
        <v>241899.99999999965</v>
      </c>
      <c r="E40" s="86">
        <f t="shared" si="11"/>
        <v>32339.572192513322</v>
      </c>
      <c r="F40" s="75">
        <f t="shared" si="16"/>
        <v>38791</v>
      </c>
      <c r="G40" s="86">
        <v>26046</v>
      </c>
      <c r="H40" s="76">
        <f t="shared" si="17"/>
        <v>45500</v>
      </c>
      <c r="I40" s="86">
        <f t="shared" si="12"/>
        <v>6082.8877005347595</v>
      </c>
      <c r="J40" s="87">
        <v>0.035500000000000004</v>
      </c>
      <c r="K40" s="87"/>
      <c r="L40" s="77">
        <f t="shared" si="13"/>
        <v>1363.997326203207</v>
      </c>
      <c r="M40" s="77">
        <f t="shared" si="14"/>
        <v>1213.9576203208542</v>
      </c>
    </row>
    <row r="41" spans="1:13" s="37" customFormat="1" ht="12.75">
      <c r="A41" s="84">
        <v>38808</v>
      </c>
      <c r="B41" s="85">
        <f>'HTHW Usage'!C41</f>
        <v>38824</v>
      </c>
      <c r="C41" s="167">
        <v>12018.7</v>
      </c>
      <c r="D41" s="76">
        <f t="shared" si="15"/>
        <v>343200.0000000007</v>
      </c>
      <c r="E41" s="86">
        <f t="shared" si="11"/>
        <v>45882.35294117656</v>
      </c>
      <c r="F41" s="75">
        <f t="shared" si="16"/>
        <v>38824</v>
      </c>
      <c r="G41" s="86">
        <v>27047</v>
      </c>
      <c r="H41" s="76">
        <f t="shared" si="17"/>
        <v>100100</v>
      </c>
      <c r="I41" s="86">
        <f t="shared" si="12"/>
        <v>13382.35294117647</v>
      </c>
      <c r="J41" s="87">
        <v>0.035500000000000004</v>
      </c>
      <c r="K41" s="87"/>
      <c r="L41" s="77">
        <f t="shared" si="13"/>
        <v>2103.897058823533</v>
      </c>
      <c r="M41" s="77">
        <f t="shared" si="14"/>
        <v>1872.4683823529442</v>
      </c>
    </row>
    <row r="42" spans="1:13" s="37" customFormat="1" ht="12.75">
      <c r="A42" s="84">
        <v>38838</v>
      </c>
      <c r="B42" s="85">
        <v>38856</v>
      </c>
      <c r="C42" s="167">
        <v>12368.9</v>
      </c>
      <c r="D42" s="76">
        <f t="shared" si="15"/>
        <v>350199.9999999989</v>
      </c>
      <c r="E42" s="86">
        <f t="shared" si="11"/>
        <v>46818.18181818167</v>
      </c>
      <c r="F42" s="75">
        <f t="shared" si="16"/>
        <v>38856</v>
      </c>
      <c r="G42" s="86">
        <v>28968</v>
      </c>
      <c r="H42" s="76">
        <f t="shared" si="17"/>
        <v>192100</v>
      </c>
      <c r="I42" s="86">
        <f t="shared" si="12"/>
        <v>25681.81818181818</v>
      </c>
      <c r="J42" s="87">
        <v>0.035500000000000004</v>
      </c>
      <c r="K42" s="87"/>
      <c r="L42" s="77">
        <f t="shared" si="13"/>
        <v>2573.749999999995</v>
      </c>
      <c r="M42" s="77">
        <f t="shared" si="14"/>
        <v>2290.6374999999957</v>
      </c>
    </row>
    <row r="43" spans="1:13" s="37" customFormat="1" ht="13.5" thickBot="1">
      <c r="A43" s="99">
        <v>38869</v>
      </c>
      <c r="B43" s="307">
        <v>38882</v>
      </c>
      <c r="C43" s="308">
        <v>12634.9</v>
      </c>
      <c r="D43" s="277">
        <f t="shared" si="15"/>
        <v>266000</v>
      </c>
      <c r="E43" s="100">
        <f t="shared" si="11"/>
        <v>35561.49732620321</v>
      </c>
      <c r="F43" s="94">
        <f t="shared" si="16"/>
        <v>38882</v>
      </c>
      <c r="G43" s="100">
        <v>30950</v>
      </c>
      <c r="H43" s="277">
        <f t="shared" si="17"/>
        <v>198200</v>
      </c>
      <c r="I43" s="100">
        <f t="shared" si="12"/>
        <v>26497.326203208555</v>
      </c>
      <c r="J43" s="309">
        <v>0.035500000000000004</v>
      </c>
      <c r="K43" s="309"/>
      <c r="L43" s="278">
        <f t="shared" si="13"/>
        <v>2203.0882352941176</v>
      </c>
      <c r="M43" s="278">
        <f t="shared" si="14"/>
        <v>1960.7485294117646</v>
      </c>
    </row>
    <row r="44" spans="1:13" s="37" customFormat="1" ht="12.75">
      <c r="A44" s="79">
        <v>38899</v>
      </c>
      <c r="B44" s="80">
        <v>38915</v>
      </c>
      <c r="C44" s="166">
        <v>12969.16</v>
      </c>
      <c r="D44" s="82">
        <f>IF(C44="","",(C44-C43)*1000)</f>
        <v>334260.00000000023</v>
      </c>
      <c r="E44" s="81">
        <f>IF(D44="","",D44/7.48)</f>
        <v>44687.165775401096</v>
      </c>
      <c r="F44" s="132">
        <f t="shared" si="16"/>
        <v>38915</v>
      </c>
      <c r="G44" s="81">
        <v>33852</v>
      </c>
      <c r="H44" s="82">
        <f>IF(G44="","",(G44-G43)*100)</f>
        <v>290200</v>
      </c>
      <c r="I44" s="81">
        <f>IF(H44="","",H44/7.48)</f>
        <v>38796.79144385026</v>
      </c>
      <c r="J44" s="83">
        <v>0.035500000000000004</v>
      </c>
      <c r="K44" s="81">
        <f>E44+I44</f>
        <v>83483.95721925136</v>
      </c>
      <c r="L44" s="91">
        <f>IF(I44="","",(E44+I44)*J44)</f>
        <v>2963.6804812834234</v>
      </c>
      <c r="M44" s="91">
        <f>IF(L44="","",L44*0.89)</f>
        <v>2637.675628342247</v>
      </c>
    </row>
    <row r="45" spans="1:13" s="37" customFormat="1" ht="12.75">
      <c r="A45" s="84">
        <v>38930</v>
      </c>
      <c r="B45" s="85">
        <v>38944</v>
      </c>
      <c r="C45" s="167">
        <v>13263.1</v>
      </c>
      <c r="D45" s="76">
        <f>IF(C45="","",(C45-C44)*1000)</f>
        <v>293940.0000000005</v>
      </c>
      <c r="E45" s="86">
        <f t="shared" si="11"/>
        <v>39296.791443850336</v>
      </c>
      <c r="F45" s="75">
        <f t="shared" si="16"/>
        <v>38944</v>
      </c>
      <c r="G45" s="86">
        <v>37036</v>
      </c>
      <c r="H45" s="76">
        <f>IF(G45="","",(G45-G44)*100)</f>
        <v>318400</v>
      </c>
      <c r="I45" s="86">
        <f t="shared" si="12"/>
        <v>42566.8449197861</v>
      </c>
      <c r="J45" s="87">
        <v>0.035500000000000004</v>
      </c>
      <c r="K45" s="86">
        <f aca="true" t="shared" si="18" ref="K45:K67">E45+I45</f>
        <v>81863.63636363644</v>
      </c>
      <c r="L45" s="77">
        <f>IF(I45="","",(E45+I45)*J45)</f>
        <v>2906.1590909090937</v>
      </c>
      <c r="M45" s="77">
        <f t="shared" si="14"/>
        <v>2586.4815909090935</v>
      </c>
    </row>
    <row r="46" spans="1:13" s="37" customFormat="1" ht="12.75">
      <c r="A46" s="84">
        <v>38961</v>
      </c>
      <c r="B46" s="85">
        <v>38975</v>
      </c>
      <c r="C46" s="167">
        <v>13706.4</v>
      </c>
      <c r="D46" s="76">
        <f>IF(C46="","",(C46-C45)*1000)</f>
        <v>443299.9999999993</v>
      </c>
      <c r="E46" s="86">
        <f t="shared" si="11"/>
        <v>59264.70588235284</v>
      </c>
      <c r="F46" s="75">
        <f t="shared" si="16"/>
        <v>38975</v>
      </c>
      <c r="G46" s="86">
        <v>41253</v>
      </c>
      <c r="H46" s="76">
        <f>IF(G46="","",(G46-G45)*100)</f>
        <v>421700</v>
      </c>
      <c r="I46" s="86">
        <f t="shared" si="12"/>
        <v>56377.00534759358</v>
      </c>
      <c r="J46" s="87">
        <v>0.035500000000000004</v>
      </c>
      <c r="K46" s="86">
        <f t="shared" si="18"/>
        <v>115641.71122994642</v>
      </c>
      <c r="L46" s="77">
        <f>IF(I46="","",(E46+I46)*J46)</f>
        <v>4105.280748663098</v>
      </c>
      <c r="M46" s="77">
        <f t="shared" si="14"/>
        <v>3653.6998663101576</v>
      </c>
    </row>
    <row r="47" spans="1:13" s="37" customFormat="1" ht="12.75">
      <c r="A47" s="84">
        <v>38991</v>
      </c>
      <c r="B47" s="85">
        <v>39005</v>
      </c>
      <c r="C47" s="167">
        <v>14212.5</v>
      </c>
      <c r="D47" s="76">
        <f aca="true" t="shared" si="19" ref="D47:D55">IF(C47="","",(C47-C46)*1000)</f>
        <v>506100.00000000035</v>
      </c>
      <c r="E47" s="86">
        <f t="shared" si="11"/>
        <v>67660.42780748667</v>
      </c>
      <c r="F47" s="75">
        <f aca="true" t="shared" si="20" ref="F47:F55">IF(B47="","",B47)</f>
        <v>39005</v>
      </c>
      <c r="G47" s="86">
        <v>42703</v>
      </c>
      <c r="H47" s="76">
        <f aca="true" t="shared" si="21" ref="H47:H55">IF(G47="","",(G47-G46)*100)</f>
        <v>145000</v>
      </c>
      <c r="I47" s="86">
        <f>IF(H47="","",H47/7.48)</f>
        <v>19385.026737967914</v>
      </c>
      <c r="J47" s="87">
        <v>0.035500000000000004</v>
      </c>
      <c r="K47" s="86">
        <f t="shared" si="18"/>
        <v>87045.45454545459</v>
      </c>
      <c r="L47" s="77">
        <f>IF(I47="","",(E47+I47)*J47)</f>
        <v>3090.1136363636383</v>
      </c>
      <c r="M47" s="77">
        <f t="shared" si="14"/>
        <v>2750.201136363638</v>
      </c>
    </row>
    <row r="48" spans="1:13" s="37" customFormat="1" ht="12.75">
      <c r="A48" s="84">
        <v>39022</v>
      </c>
      <c r="B48" s="85">
        <v>39036</v>
      </c>
      <c r="C48" s="167">
        <v>14664.51</v>
      </c>
      <c r="D48" s="76">
        <f t="shared" si="19"/>
        <v>452010.00000000023</v>
      </c>
      <c r="E48" s="86">
        <f t="shared" si="11"/>
        <v>60429.14438502677</v>
      </c>
      <c r="F48" s="75">
        <f t="shared" si="20"/>
        <v>39036</v>
      </c>
      <c r="G48" s="86">
        <v>43522</v>
      </c>
      <c r="H48" s="76">
        <f t="shared" si="21"/>
        <v>81900</v>
      </c>
      <c r="I48" s="86">
        <f t="shared" si="12"/>
        <v>10949.197860962566</v>
      </c>
      <c r="J48" s="87">
        <v>0.035500000000000004</v>
      </c>
      <c r="K48" s="86">
        <f t="shared" si="18"/>
        <v>71378.34224598933</v>
      </c>
      <c r="L48" s="77">
        <f>IF(I48="","",(E48+I48)*J48)</f>
        <v>2533.9311497326216</v>
      </c>
      <c r="M48" s="77">
        <f t="shared" si="14"/>
        <v>2255.198723262033</v>
      </c>
    </row>
    <row r="49" spans="1:13" s="37" customFormat="1" ht="12.75">
      <c r="A49" s="84">
        <v>39052</v>
      </c>
      <c r="B49" s="85">
        <v>39066</v>
      </c>
      <c r="C49" s="167">
        <v>15060.11</v>
      </c>
      <c r="D49" s="76">
        <f t="shared" si="19"/>
        <v>395600.00000000035</v>
      </c>
      <c r="E49" s="86">
        <f t="shared" si="11"/>
        <v>52887.7005347594</v>
      </c>
      <c r="F49" s="75">
        <f t="shared" si="20"/>
        <v>39066</v>
      </c>
      <c r="G49" s="86">
        <v>44037</v>
      </c>
      <c r="H49" s="76">
        <f t="shared" si="21"/>
        <v>51500</v>
      </c>
      <c r="I49" s="86">
        <f t="shared" si="12"/>
        <v>6885.026737967914</v>
      </c>
      <c r="J49" s="87">
        <v>0.035500000000000004</v>
      </c>
      <c r="K49" s="86">
        <f t="shared" si="18"/>
        <v>59772.727272727316</v>
      </c>
      <c r="L49" s="77">
        <f aca="true" t="shared" si="22" ref="L49:L55">IF(I49="","",(E49+I49)*J49)</f>
        <v>2121.93181818182</v>
      </c>
      <c r="M49" s="77">
        <f t="shared" si="14"/>
        <v>1888.5193181818197</v>
      </c>
    </row>
    <row r="50" spans="1:13" s="37" customFormat="1" ht="12.75">
      <c r="A50" s="84">
        <v>39083</v>
      </c>
      <c r="B50" s="85">
        <v>39097</v>
      </c>
      <c r="C50" s="167">
        <v>15340.37</v>
      </c>
      <c r="D50" s="76">
        <f t="shared" si="19"/>
        <v>280260.00000000023</v>
      </c>
      <c r="E50" s="86">
        <f t="shared" si="11"/>
        <v>37467.9144385027</v>
      </c>
      <c r="F50" s="75">
        <f t="shared" si="20"/>
        <v>39097</v>
      </c>
      <c r="G50" s="86">
        <v>44241</v>
      </c>
      <c r="H50" s="76">
        <f t="shared" si="21"/>
        <v>20400</v>
      </c>
      <c r="I50" s="86">
        <f t="shared" si="12"/>
        <v>2727.272727272727</v>
      </c>
      <c r="J50" s="87">
        <v>0.035500000000000004</v>
      </c>
      <c r="K50" s="86">
        <f t="shared" si="18"/>
        <v>40195.18716577543</v>
      </c>
      <c r="L50" s="77">
        <f t="shared" si="22"/>
        <v>1426.929144385028</v>
      </c>
      <c r="M50" s="77">
        <f t="shared" si="14"/>
        <v>1269.9669385026748</v>
      </c>
    </row>
    <row r="51" spans="1:13" s="37" customFormat="1" ht="12.75">
      <c r="A51" s="84">
        <v>39114</v>
      </c>
      <c r="B51" s="85">
        <v>39128</v>
      </c>
      <c r="C51" s="167">
        <v>15706.01</v>
      </c>
      <c r="D51" s="76">
        <f t="shared" si="19"/>
        <v>365639.9999999994</v>
      </c>
      <c r="E51" s="86">
        <f t="shared" si="11"/>
        <v>48882.35294117639</v>
      </c>
      <c r="F51" s="75">
        <f t="shared" si="20"/>
        <v>39128</v>
      </c>
      <c r="G51" s="86">
        <v>44796</v>
      </c>
      <c r="H51" s="76">
        <f t="shared" si="21"/>
        <v>55500</v>
      </c>
      <c r="I51" s="86">
        <f t="shared" si="12"/>
        <v>7419.786096256684</v>
      </c>
      <c r="J51" s="87">
        <v>0.035500000000000004</v>
      </c>
      <c r="K51" s="86">
        <f t="shared" si="18"/>
        <v>56302.13903743307</v>
      </c>
      <c r="L51" s="77">
        <f t="shared" si="22"/>
        <v>1998.7259358288743</v>
      </c>
      <c r="M51" s="77">
        <f t="shared" si="14"/>
        <v>1778.8660828876982</v>
      </c>
    </row>
    <row r="52" spans="1:13" s="37" customFormat="1" ht="12.75">
      <c r="A52" s="84">
        <v>39142</v>
      </c>
      <c r="B52" s="85">
        <v>39158</v>
      </c>
      <c r="C52" s="167">
        <v>16058.58</v>
      </c>
      <c r="D52" s="76">
        <f t="shared" si="19"/>
        <v>352569.9999999997</v>
      </c>
      <c r="E52" s="86">
        <f t="shared" si="11"/>
        <v>47135.02673796787</v>
      </c>
      <c r="F52" s="75">
        <f t="shared" si="20"/>
        <v>39158</v>
      </c>
      <c r="G52" s="86">
        <v>45215</v>
      </c>
      <c r="H52" s="76">
        <f t="shared" si="21"/>
        <v>41900</v>
      </c>
      <c r="I52" s="86">
        <f t="shared" si="12"/>
        <v>5601.604278074866</v>
      </c>
      <c r="J52" s="87">
        <v>0.035500000000000004</v>
      </c>
      <c r="K52" s="86">
        <f t="shared" si="18"/>
        <v>52736.63101604274</v>
      </c>
      <c r="L52" s="77">
        <f t="shared" si="22"/>
        <v>1872.1504010695173</v>
      </c>
      <c r="M52" s="77">
        <f t="shared" si="14"/>
        <v>1666.2138569518704</v>
      </c>
    </row>
    <row r="53" spans="1:13" s="37" customFormat="1" ht="12.75">
      <c r="A53" s="84">
        <v>39173</v>
      </c>
      <c r="B53" s="85">
        <v>39188</v>
      </c>
      <c r="C53" s="167">
        <v>16445.71</v>
      </c>
      <c r="D53" s="76">
        <f t="shared" si="19"/>
        <v>387129.9999999992</v>
      </c>
      <c r="E53" s="86">
        <f t="shared" si="11"/>
        <v>51755.347593582774</v>
      </c>
      <c r="F53" s="75">
        <f t="shared" si="20"/>
        <v>39188</v>
      </c>
      <c r="G53" s="86">
        <v>45781</v>
      </c>
      <c r="H53" s="76">
        <f t="shared" si="21"/>
        <v>56600</v>
      </c>
      <c r="I53" s="86">
        <f t="shared" si="12"/>
        <v>7566.8449197860955</v>
      </c>
      <c r="J53" s="87">
        <v>0.035500000000000004</v>
      </c>
      <c r="K53" s="86">
        <f t="shared" si="18"/>
        <v>59322.19251336887</v>
      </c>
      <c r="L53" s="77">
        <f t="shared" si="22"/>
        <v>2105.937834224595</v>
      </c>
      <c r="M53" s="77">
        <f t="shared" si="14"/>
        <v>1874.2846724598896</v>
      </c>
    </row>
    <row r="54" spans="1:13" s="37" customFormat="1" ht="12.75">
      <c r="A54" s="84">
        <v>39203</v>
      </c>
      <c r="B54" s="85">
        <v>39219</v>
      </c>
      <c r="C54" s="167">
        <v>16837.19</v>
      </c>
      <c r="D54" s="76">
        <f t="shared" si="19"/>
        <v>391479.99999999953</v>
      </c>
      <c r="E54" s="86">
        <f t="shared" si="11"/>
        <v>52336.89839572186</v>
      </c>
      <c r="F54" s="75">
        <f t="shared" si="20"/>
        <v>39219</v>
      </c>
      <c r="G54" s="86">
        <v>46846</v>
      </c>
      <c r="H54" s="76">
        <f t="shared" si="21"/>
        <v>106500</v>
      </c>
      <c r="I54" s="86">
        <f t="shared" si="12"/>
        <v>14237.967914438503</v>
      </c>
      <c r="J54" s="87">
        <v>0.035500000000000004</v>
      </c>
      <c r="K54" s="86">
        <f t="shared" si="18"/>
        <v>66574.86631016036</v>
      </c>
      <c r="L54" s="77">
        <f t="shared" si="22"/>
        <v>2363.407754010693</v>
      </c>
      <c r="M54" s="77">
        <f t="shared" si="14"/>
        <v>2103.432901069517</v>
      </c>
    </row>
    <row r="55" spans="1:14" s="37" customFormat="1" ht="13.5" thickBot="1">
      <c r="A55" s="42">
        <v>39234</v>
      </c>
      <c r="B55" s="186">
        <v>39246</v>
      </c>
      <c r="C55" s="187">
        <v>17135.28</v>
      </c>
      <c r="D55" s="185">
        <f t="shared" si="19"/>
        <v>298090.0000000001</v>
      </c>
      <c r="E55" s="222">
        <f t="shared" si="11"/>
        <v>39851.60427807488</v>
      </c>
      <c r="F55" s="241">
        <f t="shared" si="20"/>
        <v>39246</v>
      </c>
      <c r="G55" s="222">
        <v>48543</v>
      </c>
      <c r="H55" s="185">
        <f t="shared" si="21"/>
        <v>169700</v>
      </c>
      <c r="I55" s="222">
        <f t="shared" si="12"/>
        <v>22687.165775401067</v>
      </c>
      <c r="J55" s="188">
        <v>0.035500000000000004</v>
      </c>
      <c r="K55" s="222">
        <f t="shared" si="18"/>
        <v>62538.77005347595</v>
      </c>
      <c r="L55" s="44">
        <f t="shared" si="22"/>
        <v>2220.1263368983964</v>
      </c>
      <c r="M55" s="44">
        <f t="shared" si="14"/>
        <v>1975.912439839573</v>
      </c>
      <c r="N55" s="329">
        <f>SUM(M44:M55)</f>
        <v>26440.453155080213</v>
      </c>
    </row>
    <row r="56" spans="1:13" s="37" customFormat="1" ht="12.75">
      <c r="A56" s="79">
        <v>39264</v>
      </c>
      <c r="B56" s="132">
        <v>39280</v>
      </c>
      <c r="C56" s="166">
        <v>17518.14</v>
      </c>
      <c r="D56" s="82">
        <f>IF(C56="","",(C56-C55)*1000)</f>
        <v>382860.0000000006</v>
      </c>
      <c r="E56" s="81">
        <f>IF(D56="","",D56/7.48)</f>
        <v>51184.4919786097</v>
      </c>
      <c r="F56" s="132">
        <f>B56</f>
        <v>39280</v>
      </c>
      <c r="G56" s="81">
        <v>53095</v>
      </c>
      <c r="H56" s="82">
        <f>IF(G56="","",(G56-G55)*100)</f>
        <v>455200</v>
      </c>
      <c r="I56" s="82">
        <f>IF(H56="","",H56/7.48)</f>
        <v>60855.614973262025</v>
      </c>
      <c r="J56" s="83">
        <v>0.0366</v>
      </c>
      <c r="K56" s="81">
        <f t="shared" si="18"/>
        <v>112040.10695187173</v>
      </c>
      <c r="L56" s="91">
        <f>IF(I56="","",(E56+I56)*J56)</f>
        <v>4100.667914438505</v>
      </c>
      <c r="M56" s="91">
        <f>IF(L56="","",L56*0.89)</f>
        <v>3649.5944438502697</v>
      </c>
    </row>
    <row r="57" spans="1:13" s="37" customFormat="1" ht="12.75">
      <c r="A57" s="84">
        <v>39295</v>
      </c>
      <c r="B57" s="75">
        <v>39309</v>
      </c>
      <c r="C57" s="167">
        <v>17861.94</v>
      </c>
      <c r="D57" s="76">
        <f>IF(C57="","",(C57-C56)*1000)</f>
        <v>343799.9999999993</v>
      </c>
      <c r="E57" s="86">
        <f t="shared" si="11"/>
        <v>45962.56684491969</v>
      </c>
      <c r="F57" s="75">
        <f>B57</f>
        <v>39309</v>
      </c>
      <c r="G57" s="86">
        <v>56360</v>
      </c>
      <c r="H57" s="76">
        <f>IF(G57="","",(G57-G56)*100)</f>
        <v>326500</v>
      </c>
      <c r="I57" s="76">
        <f t="shared" si="12"/>
        <v>43649.73262032085</v>
      </c>
      <c r="J57" s="87">
        <v>0.0366</v>
      </c>
      <c r="K57" s="86">
        <f t="shared" si="18"/>
        <v>89612.29946524053</v>
      </c>
      <c r="L57" s="77">
        <f>IF(I57="","",(E57+I57)*J57)</f>
        <v>3279.8101604278036</v>
      </c>
      <c r="M57" s="77">
        <f t="shared" si="14"/>
        <v>2919.0310427807453</v>
      </c>
    </row>
    <row r="58" spans="1:13" s="37" customFormat="1" ht="12.75">
      <c r="A58" s="84">
        <v>39326</v>
      </c>
      <c r="B58" s="75">
        <v>39344</v>
      </c>
      <c r="C58" s="167">
        <v>18313.2</v>
      </c>
      <c r="D58" s="76">
        <f>IF(C58="","",(C58-C57)*1000)</f>
        <v>451260.00000000204</v>
      </c>
      <c r="E58" s="86">
        <f t="shared" si="11"/>
        <v>60328.877005347866</v>
      </c>
      <c r="F58" s="75">
        <f>B58</f>
        <v>39344</v>
      </c>
      <c r="G58" s="86">
        <v>59537</v>
      </c>
      <c r="H58" s="76">
        <f>IF(G58="","",(G58-G57)*100)</f>
        <v>317700</v>
      </c>
      <c r="I58" s="76">
        <f t="shared" si="12"/>
        <v>42473.26203208556</v>
      </c>
      <c r="J58" s="87">
        <v>0.0366</v>
      </c>
      <c r="K58" s="86">
        <f t="shared" si="18"/>
        <v>102802.13903743343</v>
      </c>
      <c r="L58" s="77">
        <f>IF(I58="","",(E58+I58)*J58)</f>
        <v>3762.5582887700634</v>
      </c>
      <c r="M58" s="77">
        <f t="shared" si="14"/>
        <v>3348.6768770053563</v>
      </c>
    </row>
    <row r="59" spans="1:13" s="37" customFormat="1" ht="12.75">
      <c r="A59" s="84">
        <v>39356</v>
      </c>
      <c r="B59" s="75">
        <v>39370</v>
      </c>
      <c r="C59" s="167">
        <v>18648.89</v>
      </c>
      <c r="D59" s="76">
        <f>IF(C59="","",(C59-C58)*1000)</f>
        <v>335689.9999999987</v>
      </c>
      <c r="E59" s="86">
        <f t="shared" si="11"/>
        <v>44878.34224598913</v>
      </c>
      <c r="F59" s="75">
        <v>39370</v>
      </c>
      <c r="G59" s="86">
        <v>61801</v>
      </c>
      <c r="H59" s="76">
        <f>IF(G59="","",(G59-G58)*100)</f>
        <v>226400</v>
      </c>
      <c r="I59" s="76">
        <f t="shared" si="12"/>
        <v>30267.379679144382</v>
      </c>
      <c r="J59" s="87">
        <v>0.0366</v>
      </c>
      <c r="K59" s="86">
        <f t="shared" si="18"/>
        <v>75145.72192513352</v>
      </c>
      <c r="L59" s="77">
        <f>IF(I59="","",(E59+I59)*J59)</f>
        <v>2750.333422459887</v>
      </c>
      <c r="M59" s="77">
        <f t="shared" si="14"/>
        <v>2447.7967459892993</v>
      </c>
    </row>
    <row r="60" spans="1:13" s="37" customFormat="1" ht="12.75">
      <c r="A60" s="84">
        <v>39387</v>
      </c>
      <c r="B60" s="75">
        <v>39405</v>
      </c>
      <c r="C60" s="167">
        <v>19086.38</v>
      </c>
      <c r="D60" s="76">
        <f>IF(C60="","",(C60-C59)*1000)</f>
        <v>437490.00000000163</v>
      </c>
      <c r="E60" s="86">
        <f t="shared" si="11"/>
        <v>58487.96791443872</v>
      </c>
      <c r="F60" s="75">
        <v>39405</v>
      </c>
      <c r="G60" s="86">
        <v>63107</v>
      </c>
      <c r="H60" s="76">
        <f>IF(G60="","",(G60-G59)*100)</f>
        <v>130600</v>
      </c>
      <c r="I60" s="76">
        <f t="shared" si="12"/>
        <v>17459.893048128342</v>
      </c>
      <c r="J60" s="87">
        <v>0.0366</v>
      </c>
      <c r="K60" s="86">
        <f t="shared" si="18"/>
        <v>75947.86096256707</v>
      </c>
      <c r="L60" s="77">
        <f>IF(I60="","",(E60+I60)*J60)</f>
        <v>2779.6917112299548</v>
      </c>
      <c r="M60" s="77">
        <f t="shared" si="14"/>
        <v>2473.92562299466</v>
      </c>
    </row>
    <row r="61" spans="1:14" s="40" customFormat="1" ht="12.75">
      <c r="A61" s="340">
        <v>39417</v>
      </c>
      <c r="B61" s="133"/>
      <c r="C61" s="341">
        <f>C60+D61/1000</f>
        <v>19481.980000000003</v>
      </c>
      <c r="D61" s="155">
        <f>D49</f>
        <v>395600.00000000035</v>
      </c>
      <c r="E61" s="140">
        <f aca="true" t="shared" si="23" ref="E61:E67">IF(D61="","",D61/7.48)</f>
        <v>52887.7005347594</v>
      </c>
      <c r="F61" s="133"/>
      <c r="G61" s="140">
        <f>G60+H61/100</f>
        <v>63622</v>
      </c>
      <c r="H61" s="155">
        <f>H49</f>
        <v>51500</v>
      </c>
      <c r="I61" s="155">
        <f aca="true" t="shared" si="24" ref="I61:I67">IF(H61="","",H61/7.48)</f>
        <v>6885.026737967914</v>
      </c>
      <c r="J61" s="342">
        <v>0.0366</v>
      </c>
      <c r="K61" s="140">
        <f t="shared" si="18"/>
        <v>59772.727272727316</v>
      </c>
      <c r="L61" s="156">
        <f aca="true" t="shared" si="25" ref="L61:L67">IF(I61="","",(E61+I61)*J61)</f>
        <v>2187.68181818182</v>
      </c>
      <c r="M61" s="156">
        <f t="shared" si="14"/>
        <v>1947.0368181818196</v>
      </c>
      <c r="N61" s="37"/>
    </row>
    <row r="62" spans="1:13" s="37" customFormat="1" ht="12.75">
      <c r="A62" s="84">
        <v>39448</v>
      </c>
      <c r="B62" s="94">
        <v>39461</v>
      </c>
      <c r="C62" s="167">
        <v>19667.19</v>
      </c>
      <c r="D62" s="76">
        <f aca="true" t="shared" si="26" ref="D62:D67">IF(C62="","",(C62-C61)*1000)</f>
        <v>185209.9999999955</v>
      </c>
      <c r="E62" s="86">
        <f t="shared" si="23"/>
        <v>24760.695187165173</v>
      </c>
      <c r="F62" s="94">
        <v>39461</v>
      </c>
      <c r="G62" s="86">
        <v>63774</v>
      </c>
      <c r="H62" s="76">
        <f aca="true" t="shared" si="27" ref="H62:H67">IF(G62="","",(G62-G61)*100)</f>
        <v>15200</v>
      </c>
      <c r="I62" s="76">
        <f t="shared" si="24"/>
        <v>2032.0855614973261</v>
      </c>
      <c r="J62" s="87">
        <v>0.0366</v>
      </c>
      <c r="K62" s="86">
        <f t="shared" si="18"/>
        <v>26792.7807486625</v>
      </c>
      <c r="L62" s="77">
        <f t="shared" si="25"/>
        <v>980.6157754010475</v>
      </c>
      <c r="M62" s="77">
        <f t="shared" si="14"/>
        <v>872.7480401069323</v>
      </c>
    </row>
    <row r="63" spans="1:13" s="37" customFormat="1" ht="12.75">
      <c r="A63" s="84">
        <v>39479</v>
      </c>
      <c r="B63" s="94">
        <v>39492</v>
      </c>
      <c r="C63" s="167">
        <v>20042.9</v>
      </c>
      <c r="D63" s="76">
        <f t="shared" si="26"/>
        <v>375710.0000000028</v>
      </c>
      <c r="E63" s="86">
        <f t="shared" si="23"/>
        <v>50228.60962566882</v>
      </c>
      <c r="F63" s="94">
        <v>39492</v>
      </c>
      <c r="G63" s="86">
        <v>64421</v>
      </c>
      <c r="H63" s="76">
        <f t="shared" si="27"/>
        <v>64700</v>
      </c>
      <c r="I63" s="76">
        <f t="shared" si="24"/>
        <v>8649.732620320856</v>
      </c>
      <c r="J63" s="87">
        <v>0.0366</v>
      </c>
      <c r="K63" s="86">
        <f t="shared" si="18"/>
        <v>58878.342245989676</v>
      </c>
      <c r="L63" s="77">
        <f t="shared" si="25"/>
        <v>2154.947326203222</v>
      </c>
      <c r="M63" s="77">
        <f t="shared" si="14"/>
        <v>1917.9031203208676</v>
      </c>
    </row>
    <row r="64" spans="1:13" s="37" customFormat="1" ht="12.75">
      <c r="A64" s="84">
        <v>39508</v>
      </c>
      <c r="B64" s="94">
        <v>39525</v>
      </c>
      <c r="C64" s="167">
        <v>20443.59</v>
      </c>
      <c r="D64" s="76">
        <f t="shared" si="26"/>
        <v>400689.9999999987</v>
      </c>
      <c r="E64" s="86">
        <f t="shared" si="23"/>
        <v>53568.18181818164</v>
      </c>
      <c r="F64" s="94">
        <v>39525</v>
      </c>
      <c r="G64" s="86">
        <v>64951</v>
      </c>
      <c r="H64" s="76">
        <f t="shared" si="27"/>
        <v>53000</v>
      </c>
      <c r="I64" s="76">
        <f t="shared" si="24"/>
        <v>7085.561497326203</v>
      </c>
      <c r="J64" s="87">
        <v>0.0366</v>
      </c>
      <c r="K64" s="86">
        <f t="shared" si="18"/>
        <v>60653.74331550785</v>
      </c>
      <c r="L64" s="77">
        <f t="shared" si="25"/>
        <v>2219.927005347587</v>
      </c>
      <c r="M64" s="77">
        <f t="shared" si="14"/>
        <v>1975.7350347593524</v>
      </c>
    </row>
    <row r="65" spans="1:13" s="37" customFormat="1" ht="12.75">
      <c r="A65" s="84">
        <v>39539</v>
      </c>
      <c r="B65" s="75">
        <v>39553</v>
      </c>
      <c r="C65" s="167">
        <v>20851.19</v>
      </c>
      <c r="D65" s="76">
        <f t="shared" si="26"/>
        <v>407599.99999999854</v>
      </c>
      <c r="E65" s="86">
        <f t="shared" si="23"/>
        <v>54491.97860962547</v>
      </c>
      <c r="F65" s="75">
        <v>39553</v>
      </c>
      <c r="G65" s="86">
        <v>65523</v>
      </c>
      <c r="H65" s="76">
        <f t="shared" si="27"/>
        <v>57200</v>
      </c>
      <c r="I65" s="76">
        <f t="shared" si="24"/>
        <v>7647.058823529412</v>
      </c>
      <c r="J65" s="87">
        <v>0.0366</v>
      </c>
      <c r="K65" s="86">
        <f t="shared" si="18"/>
        <v>62139.03743315488</v>
      </c>
      <c r="L65" s="77">
        <f t="shared" si="25"/>
        <v>2274.288770053469</v>
      </c>
      <c r="M65" s="77">
        <f t="shared" si="14"/>
        <v>2024.1170053475873</v>
      </c>
    </row>
    <row r="66" spans="1:13" s="37" customFormat="1" ht="12.75">
      <c r="A66" s="84">
        <v>39569</v>
      </c>
      <c r="B66" s="75">
        <v>39583</v>
      </c>
      <c r="C66" s="167">
        <v>21209.63</v>
      </c>
      <c r="D66" s="76">
        <f t="shared" si="26"/>
        <v>358440.0000000023</v>
      </c>
      <c r="E66" s="86">
        <f t="shared" si="23"/>
        <v>47919.78609625699</v>
      </c>
      <c r="F66" s="75">
        <v>39583</v>
      </c>
      <c r="G66" s="86">
        <v>66661</v>
      </c>
      <c r="H66" s="76">
        <f t="shared" si="27"/>
        <v>113800</v>
      </c>
      <c r="I66" s="76">
        <f t="shared" si="24"/>
        <v>15213.903743315506</v>
      </c>
      <c r="J66" s="87">
        <v>0.0366</v>
      </c>
      <c r="K66" s="86">
        <f t="shared" si="18"/>
        <v>63133.6898395725</v>
      </c>
      <c r="L66" s="77">
        <f t="shared" si="25"/>
        <v>2310.6930481283534</v>
      </c>
      <c r="M66" s="77">
        <f t="shared" si="14"/>
        <v>2056.5168128342348</v>
      </c>
    </row>
    <row r="67" spans="1:14" s="40" customFormat="1" ht="13.5" thickBot="1">
      <c r="A67" s="42">
        <v>39600</v>
      </c>
      <c r="B67" s="241">
        <v>39615</v>
      </c>
      <c r="C67" s="187">
        <v>21529.13</v>
      </c>
      <c r="D67" s="185">
        <f t="shared" si="26"/>
        <v>319500</v>
      </c>
      <c r="E67" s="222">
        <f t="shared" si="23"/>
        <v>42713.9037433155</v>
      </c>
      <c r="F67" s="241">
        <v>39615</v>
      </c>
      <c r="G67" s="222">
        <v>68654</v>
      </c>
      <c r="H67" s="185">
        <f t="shared" si="27"/>
        <v>199300</v>
      </c>
      <c r="I67" s="185">
        <f t="shared" si="24"/>
        <v>26644.385026737968</v>
      </c>
      <c r="J67" s="87">
        <v>0.0366</v>
      </c>
      <c r="K67" s="210">
        <f t="shared" si="18"/>
        <v>69358.28877005348</v>
      </c>
      <c r="L67" s="343">
        <f t="shared" si="25"/>
        <v>2538.513368983957</v>
      </c>
      <c r="M67" s="343">
        <f t="shared" si="14"/>
        <v>2259.276898395722</v>
      </c>
      <c r="N67" s="329">
        <f>SUM(M56:M67)</f>
        <v>27892.358462566848</v>
      </c>
    </row>
    <row r="68" spans="1:14" s="205" customFormat="1" ht="12.75">
      <c r="A68" s="242">
        <v>39630</v>
      </c>
      <c r="B68" s="273">
        <v>39645</v>
      </c>
      <c r="C68" s="310">
        <v>21814.64</v>
      </c>
      <c r="D68" s="231">
        <f aca="true" t="shared" si="28" ref="D68:D103">IF(C68="","",(C68-C67)*1000)</f>
        <v>285509.99999999837</v>
      </c>
      <c r="E68" s="268">
        <f>IF(D68="","",D68/7.48)</f>
        <v>38169.78609625647</v>
      </c>
      <c r="F68" s="273">
        <f>B68</f>
        <v>39645</v>
      </c>
      <c r="G68" s="231">
        <v>70930</v>
      </c>
      <c r="H68" s="231">
        <f>IF(G68="","",(G68-G67)*100)</f>
        <v>227600</v>
      </c>
      <c r="I68" s="231">
        <f>IF(H68="","",H68/7.48)</f>
        <v>30427.807486631013</v>
      </c>
      <c r="J68" s="311">
        <v>0.039700000000000006</v>
      </c>
      <c r="K68" s="268">
        <f>E68+I68</f>
        <v>68597.59358288748</v>
      </c>
      <c r="L68" s="312">
        <f>IF(I68="","",(E68+I68)*J68)</f>
        <v>2723.3244652406333</v>
      </c>
      <c r="M68" s="312">
        <f>IF(L68="","",L68*0.89)</f>
        <v>2423.758774064164</v>
      </c>
      <c r="N68" s="37"/>
    </row>
    <row r="69" spans="1:14" s="205" customFormat="1" ht="12.75">
      <c r="A69" s="193">
        <v>39661</v>
      </c>
      <c r="B69" s="199">
        <v>39678</v>
      </c>
      <c r="C69" s="203">
        <v>22123.34</v>
      </c>
      <c r="D69" s="195">
        <f t="shared" si="28"/>
        <v>308700.0000000007</v>
      </c>
      <c r="E69" s="196">
        <f aca="true" t="shared" si="29" ref="E69:E103">IF(D69="","",D69/7.48)</f>
        <v>41270.05347593592</v>
      </c>
      <c r="F69" s="199">
        <f>B69</f>
        <v>39678</v>
      </c>
      <c r="G69" s="195">
        <v>73661</v>
      </c>
      <c r="H69" s="195">
        <f>IF(G69="","",(G69-G68)*100)</f>
        <v>273100</v>
      </c>
      <c r="I69" s="195">
        <f aca="true" t="shared" si="30" ref="I69:I103">IF(H69="","",H69/7.48)</f>
        <v>36510.69518716577</v>
      </c>
      <c r="J69" s="204">
        <v>0.039700000000000006</v>
      </c>
      <c r="K69" s="196">
        <f aca="true" t="shared" si="31" ref="K69:K79">E69+I69</f>
        <v>77780.7486631017</v>
      </c>
      <c r="L69" s="200">
        <f>IF(I69="","",(E69+I69)*J69)</f>
        <v>3087.895721925138</v>
      </c>
      <c r="M69" s="200">
        <f t="shared" si="14"/>
        <v>2748.2271925133728</v>
      </c>
      <c r="N69" s="37"/>
    </row>
    <row r="70" spans="1:14" s="205" customFormat="1" ht="12.75">
      <c r="A70" s="193">
        <v>39692</v>
      </c>
      <c r="B70" s="199">
        <v>39706</v>
      </c>
      <c r="C70" s="203">
        <v>22516.7</v>
      </c>
      <c r="D70" s="195">
        <f t="shared" si="28"/>
        <v>393360.0000000006</v>
      </c>
      <c r="E70" s="196">
        <f t="shared" si="29"/>
        <v>52588.23529411772</v>
      </c>
      <c r="F70" s="199">
        <f>B70</f>
        <v>39706</v>
      </c>
      <c r="G70" s="195">
        <v>76046</v>
      </c>
      <c r="H70" s="195">
        <f>IF(G70="","",(G70-G69)*100)</f>
        <v>238500</v>
      </c>
      <c r="I70" s="195">
        <f t="shared" si="30"/>
        <v>31885.026737967914</v>
      </c>
      <c r="J70" s="204">
        <v>0.039700000000000006</v>
      </c>
      <c r="K70" s="196">
        <f t="shared" si="31"/>
        <v>84473.26203208564</v>
      </c>
      <c r="L70" s="200">
        <f>IF(I70="","",(E70+I70)*J70)</f>
        <v>3353.5885026738</v>
      </c>
      <c r="M70" s="200">
        <f t="shared" si="14"/>
        <v>2984.693767379682</v>
      </c>
      <c r="N70" s="37"/>
    </row>
    <row r="71" spans="1:14" s="313" customFormat="1" ht="12.75">
      <c r="A71" s="193">
        <v>39722</v>
      </c>
      <c r="B71" s="199">
        <v>39736</v>
      </c>
      <c r="C71" s="203">
        <v>22920.58</v>
      </c>
      <c r="D71" s="195">
        <f t="shared" si="28"/>
        <v>403880.00000000105</v>
      </c>
      <c r="E71" s="196">
        <f t="shared" si="29"/>
        <v>53994.65240641725</v>
      </c>
      <c r="F71" s="199">
        <v>39736</v>
      </c>
      <c r="G71" s="195">
        <v>78020</v>
      </c>
      <c r="H71" s="195">
        <f aca="true" t="shared" si="32" ref="H71:H103">IF(G71="","",(G71-G70)*100)</f>
        <v>197400</v>
      </c>
      <c r="I71" s="195">
        <f t="shared" si="30"/>
        <v>26390.3743315508</v>
      </c>
      <c r="J71" s="204">
        <v>0.039700000000000006</v>
      </c>
      <c r="K71" s="196">
        <f t="shared" si="31"/>
        <v>80385.02673796804</v>
      </c>
      <c r="L71" s="200">
        <f>IF(I71="","",(E71+I71)*J71)</f>
        <v>3191.285561497332</v>
      </c>
      <c r="M71" s="200">
        <f t="shared" si="14"/>
        <v>2840.2441497326254</v>
      </c>
      <c r="N71" s="37"/>
    </row>
    <row r="72" spans="1:14" s="313" customFormat="1" ht="12.75">
      <c r="A72" s="193">
        <v>39753</v>
      </c>
      <c r="B72" s="199">
        <v>39770</v>
      </c>
      <c r="C72" s="203">
        <v>23359.59</v>
      </c>
      <c r="D72" s="195">
        <f t="shared" si="28"/>
        <v>439009.99999999837</v>
      </c>
      <c r="E72" s="196">
        <f t="shared" si="29"/>
        <v>58691.17647058801</v>
      </c>
      <c r="F72" s="199">
        <v>39770</v>
      </c>
      <c r="G72" s="195">
        <v>79103</v>
      </c>
      <c r="H72" s="195">
        <f t="shared" si="32"/>
        <v>108300</v>
      </c>
      <c r="I72" s="195">
        <f t="shared" si="30"/>
        <v>14478.609625668449</v>
      </c>
      <c r="J72" s="204">
        <v>0.039700000000000006</v>
      </c>
      <c r="K72" s="196">
        <f t="shared" si="31"/>
        <v>73169.78609625646</v>
      </c>
      <c r="L72" s="200">
        <f>IF(I72="","",(E72+I72)*J72)</f>
        <v>2904.840508021382</v>
      </c>
      <c r="M72" s="200">
        <f t="shared" si="14"/>
        <v>2585.30805213903</v>
      </c>
      <c r="N72" s="37"/>
    </row>
    <row r="73" spans="1:14" s="313" customFormat="1" ht="12.75">
      <c r="A73" s="193">
        <v>39783</v>
      </c>
      <c r="B73" s="199">
        <v>39797</v>
      </c>
      <c r="C73" s="203">
        <v>23697.88</v>
      </c>
      <c r="D73" s="195">
        <f t="shared" si="28"/>
        <v>338290.0000000009</v>
      </c>
      <c r="E73" s="196">
        <f t="shared" si="29"/>
        <v>45225.93582887712</v>
      </c>
      <c r="F73" s="199">
        <v>39797</v>
      </c>
      <c r="G73" s="195">
        <v>79616</v>
      </c>
      <c r="H73" s="195">
        <f t="shared" si="32"/>
        <v>51300</v>
      </c>
      <c r="I73" s="195">
        <f t="shared" si="30"/>
        <v>6858.288770053476</v>
      </c>
      <c r="J73" s="204">
        <v>0.039700000000000006</v>
      </c>
      <c r="K73" s="196">
        <f t="shared" si="31"/>
        <v>52084.224598930596</v>
      </c>
      <c r="L73" s="200">
        <f aca="true" t="shared" si="33" ref="L73:L79">IF(I73="","",(E73+I73)*J73)</f>
        <v>2067.743716577545</v>
      </c>
      <c r="M73" s="200">
        <f t="shared" si="14"/>
        <v>1840.291907754015</v>
      </c>
      <c r="N73" s="37"/>
    </row>
    <row r="74" spans="1:14" s="313" customFormat="1" ht="12.75">
      <c r="A74" s="193">
        <v>39814</v>
      </c>
      <c r="B74" s="346">
        <v>39829</v>
      </c>
      <c r="C74" s="203">
        <v>24039</v>
      </c>
      <c r="D74" s="195">
        <f t="shared" si="28"/>
        <v>341119.99999999895</v>
      </c>
      <c r="E74" s="196">
        <f t="shared" si="29"/>
        <v>45604.27807486617</v>
      </c>
      <c r="F74" s="346">
        <v>39829</v>
      </c>
      <c r="G74" s="195">
        <v>79455</v>
      </c>
      <c r="H74" s="195">
        <f t="shared" si="32"/>
        <v>-16100</v>
      </c>
      <c r="I74" s="195">
        <f t="shared" si="30"/>
        <v>-2152.4064171122996</v>
      </c>
      <c r="J74" s="204">
        <v>0.039700000000000006</v>
      </c>
      <c r="K74" s="196">
        <f t="shared" si="31"/>
        <v>43451.871657753865</v>
      </c>
      <c r="L74" s="200">
        <f t="shared" si="33"/>
        <v>1725.0393048128287</v>
      </c>
      <c r="M74" s="200">
        <f t="shared" si="14"/>
        <v>1535.2849812834177</v>
      </c>
      <c r="N74" s="37"/>
    </row>
    <row r="75" spans="1:14" s="313" customFormat="1" ht="12.75">
      <c r="A75" s="193">
        <v>39845</v>
      </c>
      <c r="B75" s="346">
        <v>39861</v>
      </c>
      <c r="C75" s="203">
        <v>24407</v>
      </c>
      <c r="D75" s="195">
        <f t="shared" si="28"/>
        <v>368000</v>
      </c>
      <c r="E75" s="196">
        <f t="shared" si="29"/>
        <v>49197.86096256684</v>
      </c>
      <c r="F75" s="346">
        <v>39861</v>
      </c>
      <c r="G75" s="195">
        <v>80699</v>
      </c>
      <c r="H75" s="195">
        <f t="shared" si="32"/>
        <v>124400</v>
      </c>
      <c r="I75" s="195">
        <f t="shared" si="30"/>
        <v>16631.016042780746</v>
      </c>
      <c r="J75" s="204">
        <v>0.039700000000000006</v>
      </c>
      <c r="K75" s="196">
        <f t="shared" si="31"/>
        <v>65828.87700534759</v>
      </c>
      <c r="L75" s="200">
        <f t="shared" si="33"/>
        <v>2613.4064171122996</v>
      </c>
      <c r="M75" s="200">
        <f t="shared" si="14"/>
        <v>2325.931711229947</v>
      </c>
      <c r="N75" s="37"/>
    </row>
    <row r="76" spans="1:14" s="313" customFormat="1" ht="12.75">
      <c r="A76" s="193">
        <v>39873</v>
      </c>
      <c r="B76" s="346">
        <v>39889</v>
      </c>
      <c r="C76" s="203">
        <v>24730</v>
      </c>
      <c r="D76" s="195">
        <f t="shared" si="28"/>
        <v>323000</v>
      </c>
      <c r="E76" s="196">
        <f t="shared" si="29"/>
        <v>43181.81818181818</v>
      </c>
      <c r="F76" s="346">
        <v>39889</v>
      </c>
      <c r="G76" s="195">
        <v>81294</v>
      </c>
      <c r="H76" s="195">
        <f t="shared" si="32"/>
        <v>59500</v>
      </c>
      <c r="I76" s="195">
        <f t="shared" si="30"/>
        <v>7954.545454545454</v>
      </c>
      <c r="J76" s="204">
        <v>0.039700000000000006</v>
      </c>
      <c r="K76" s="196">
        <f t="shared" si="31"/>
        <v>51136.36363636363</v>
      </c>
      <c r="L76" s="200">
        <f t="shared" si="33"/>
        <v>2030.1136363636365</v>
      </c>
      <c r="M76" s="200">
        <f t="shared" si="14"/>
        <v>1806.8011363636365</v>
      </c>
      <c r="N76" s="37"/>
    </row>
    <row r="77" spans="1:14" s="313" customFormat="1" ht="12.75">
      <c r="A77" s="193">
        <v>39904</v>
      </c>
      <c r="B77" s="199">
        <v>39923</v>
      </c>
      <c r="C77" s="234">
        <v>25272.19</v>
      </c>
      <c r="D77" s="195">
        <f t="shared" si="28"/>
        <v>542189.9999999987</v>
      </c>
      <c r="E77" s="196">
        <f t="shared" si="29"/>
        <v>72485.29411764689</v>
      </c>
      <c r="F77" s="199">
        <v>39923</v>
      </c>
      <c r="G77" s="195">
        <v>82544</v>
      </c>
      <c r="H77" s="195">
        <f t="shared" si="32"/>
        <v>125000</v>
      </c>
      <c r="I77" s="195">
        <f t="shared" si="30"/>
        <v>16711.229946524065</v>
      </c>
      <c r="J77" s="204">
        <v>0.039700000000000006</v>
      </c>
      <c r="K77" s="196">
        <f t="shared" si="31"/>
        <v>89196.52406417095</v>
      </c>
      <c r="L77" s="200">
        <f t="shared" si="33"/>
        <v>3541.1020053475872</v>
      </c>
      <c r="M77" s="200">
        <f t="shared" si="14"/>
        <v>3151.580784759353</v>
      </c>
      <c r="N77" s="37"/>
    </row>
    <row r="78" spans="1:14" s="313" customFormat="1" ht="12.75">
      <c r="A78" s="193">
        <v>39934</v>
      </c>
      <c r="B78" s="199">
        <v>39948</v>
      </c>
      <c r="C78" s="234">
        <v>25564.1</v>
      </c>
      <c r="D78" s="195">
        <f t="shared" si="28"/>
        <v>291909.9999999999</v>
      </c>
      <c r="E78" s="196">
        <f t="shared" si="29"/>
        <v>39025.401069518695</v>
      </c>
      <c r="F78" s="199">
        <v>39948</v>
      </c>
      <c r="G78" s="195">
        <v>83413</v>
      </c>
      <c r="H78" s="195">
        <f t="shared" si="32"/>
        <v>86900</v>
      </c>
      <c r="I78" s="195">
        <f t="shared" si="30"/>
        <v>11617.647058823528</v>
      </c>
      <c r="J78" s="204">
        <v>0.039700000000000006</v>
      </c>
      <c r="K78" s="196">
        <f t="shared" si="31"/>
        <v>50643.04812834223</v>
      </c>
      <c r="L78" s="200">
        <f t="shared" si="33"/>
        <v>2010.5290106951868</v>
      </c>
      <c r="M78" s="200">
        <f t="shared" si="14"/>
        <v>1789.3708195187162</v>
      </c>
      <c r="N78" s="37"/>
    </row>
    <row r="79" spans="1:14" s="313" customFormat="1" ht="13.5" thickBot="1">
      <c r="A79" s="350">
        <v>39965</v>
      </c>
      <c r="B79" s="352">
        <v>39979</v>
      </c>
      <c r="C79" s="367">
        <v>26020.7</v>
      </c>
      <c r="D79" s="361">
        <f t="shared" si="28"/>
        <v>456600.0000000022</v>
      </c>
      <c r="E79" s="360">
        <f t="shared" si="29"/>
        <v>61042.7807486634</v>
      </c>
      <c r="F79" s="352">
        <v>39979</v>
      </c>
      <c r="G79" s="361">
        <v>84727</v>
      </c>
      <c r="H79" s="195">
        <f t="shared" si="32"/>
        <v>131400</v>
      </c>
      <c r="I79" s="361">
        <f t="shared" si="30"/>
        <v>17566.844919786094</v>
      </c>
      <c r="J79" s="368">
        <v>0.039700000000000006</v>
      </c>
      <c r="K79" s="360">
        <f t="shared" si="31"/>
        <v>78609.62566844949</v>
      </c>
      <c r="L79" s="364">
        <f t="shared" si="33"/>
        <v>3120.802139037445</v>
      </c>
      <c r="M79" s="364">
        <f t="shared" si="14"/>
        <v>2777.5139037433264</v>
      </c>
      <c r="N79" s="329">
        <f>SUM(M68:M79)</f>
        <v>28809.007180481287</v>
      </c>
    </row>
    <row r="80" spans="1:14" s="205" customFormat="1" ht="12.75">
      <c r="A80" s="242">
        <v>39995</v>
      </c>
      <c r="B80" s="273">
        <v>40011</v>
      </c>
      <c r="C80" s="387">
        <v>26375.56</v>
      </c>
      <c r="D80" s="231">
        <f t="shared" si="28"/>
        <v>354860.0000000006</v>
      </c>
      <c r="E80" s="388">
        <f t="shared" si="29"/>
        <v>47441.17647058831</v>
      </c>
      <c r="F80" s="273">
        <v>40011</v>
      </c>
      <c r="G80" s="231">
        <v>87142</v>
      </c>
      <c r="H80" s="231">
        <f t="shared" si="32"/>
        <v>241500</v>
      </c>
      <c r="I80" s="231">
        <f>IF(H80="","",H80/7.48)</f>
        <v>32286.09625668449</v>
      </c>
      <c r="J80" s="311">
        <v>0.039700000000000006</v>
      </c>
      <c r="K80" s="268">
        <f>E80+I80</f>
        <v>79727.2727272728</v>
      </c>
      <c r="L80" s="312">
        <f>IF(I80="","",(E80+I80)*J80)</f>
        <v>3165.1727272727303</v>
      </c>
      <c r="M80" s="312">
        <f>IF(L80="","",L80*0.89)</f>
        <v>2817.00372727273</v>
      </c>
      <c r="N80" s="37"/>
    </row>
    <row r="81" spans="1:14" s="205" customFormat="1" ht="12.75">
      <c r="A81" s="193">
        <v>40026</v>
      </c>
      <c r="B81" s="199">
        <v>40042</v>
      </c>
      <c r="C81" s="389">
        <v>26702.77</v>
      </c>
      <c r="D81" s="195">
        <f t="shared" si="28"/>
        <v>327209.9999999991</v>
      </c>
      <c r="E81" s="390">
        <f t="shared" si="29"/>
        <v>43744.65240641699</v>
      </c>
      <c r="F81" s="199">
        <v>40042</v>
      </c>
      <c r="G81" s="355">
        <v>89774</v>
      </c>
      <c r="H81" s="195">
        <f t="shared" si="32"/>
        <v>263200</v>
      </c>
      <c r="I81" s="195">
        <f t="shared" si="30"/>
        <v>35187.16577540107</v>
      </c>
      <c r="J81" s="204">
        <v>0.039700000000000006</v>
      </c>
      <c r="K81" s="196">
        <f aca="true" t="shared" si="34" ref="K81:K91">E81+I81</f>
        <v>78931.81818181806</v>
      </c>
      <c r="L81" s="200">
        <f>IF(I81="","",(E81+I81)*J81)</f>
        <v>3133.5931818181775</v>
      </c>
      <c r="M81" s="200">
        <f t="shared" si="14"/>
        <v>2788.897931818178</v>
      </c>
      <c r="N81" s="37"/>
    </row>
    <row r="82" spans="1:14" s="205" customFormat="1" ht="12.75">
      <c r="A82" s="193">
        <v>40057</v>
      </c>
      <c r="B82" s="199">
        <v>40071</v>
      </c>
      <c r="C82" s="389">
        <v>26866.38</v>
      </c>
      <c r="D82" s="195">
        <f t="shared" si="28"/>
        <v>163610.00000000058</v>
      </c>
      <c r="E82" s="390">
        <f t="shared" si="29"/>
        <v>21872.994652406494</v>
      </c>
      <c r="F82" s="199">
        <v>40071</v>
      </c>
      <c r="G82" s="390">
        <v>91822</v>
      </c>
      <c r="H82" s="195">
        <f t="shared" si="32"/>
        <v>204800</v>
      </c>
      <c r="I82" s="195">
        <f t="shared" si="30"/>
        <v>27379.679144385023</v>
      </c>
      <c r="J82" s="204">
        <v>0.039700000000000006</v>
      </c>
      <c r="K82" s="196">
        <f t="shared" si="34"/>
        <v>49252.67379679152</v>
      </c>
      <c r="L82" s="200">
        <f>IF(I82="","",(E82+I82)*J82)</f>
        <v>1955.3311497326235</v>
      </c>
      <c r="M82" s="200">
        <f t="shared" si="14"/>
        <v>1740.244723262035</v>
      </c>
      <c r="N82" s="37"/>
    </row>
    <row r="83" spans="1:14" s="205" customFormat="1" ht="12.75">
      <c r="A83" s="193">
        <v>40087</v>
      </c>
      <c r="B83" s="199">
        <v>40102</v>
      </c>
      <c r="C83" s="389">
        <v>27467.27</v>
      </c>
      <c r="D83" s="195">
        <f>IF(C83="","",(C83-C82)*1000)</f>
        <v>600889.9999999994</v>
      </c>
      <c r="E83" s="390">
        <f>IF(D83="","",D83/7.48)</f>
        <v>80332.88770053467</v>
      </c>
      <c r="F83" s="199">
        <v>40102</v>
      </c>
      <c r="G83" s="390">
        <v>93487</v>
      </c>
      <c r="H83" s="195">
        <f t="shared" si="32"/>
        <v>166500</v>
      </c>
      <c r="I83" s="195">
        <f t="shared" si="30"/>
        <v>22259.35828877005</v>
      </c>
      <c r="J83" s="204">
        <v>0.039700000000000006</v>
      </c>
      <c r="K83" s="196">
        <f>E83+I83</f>
        <v>102592.24598930472</v>
      </c>
      <c r="L83" s="200">
        <f>IF(I83="","",(E83+I83)*J83)</f>
        <v>4072.912165775398</v>
      </c>
      <c r="M83" s="200">
        <f t="shared" si="14"/>
        <v>3624.8918275401043</v>
      </c>
      <c r="N83" s="37"/>
    </row>
    <row r="84" spans="1:14" s="205" customFormat="1" ht="12.75">
      <c r="A84" s="193">
        <v>40118</v>
      </c>
      <c r="B84" s="199">
        <v>40133</v>
      </c>
      <c r="C84" s="389">
        <v>27855.51</v>
      </c>
      <c r="D84" s="195">
        <f t="shared" si="28"/>
        <v>388239.99999999796</v>
      </c>
      <c r="E84" s="390">
        <f t="shared" si="29"/>
        <v>51903.743315507745</v>
      </c>
      <c r="F84" s="199">
        <v>40133</v>
      </c>
      <c r="G84" s="390">
        <v>94298</v>
      </c>
      <c r="H84" s="195">
        <f t="shared" si="32"/>
        <v>81100</v>
      </c>
      <c r="I84" s="195">
        <f t="shared" si="30"/>
        <v>10842.245989304813</v>
      </c>
      <c r="J84" s="204">
        <v>0.039700000000000006</v>
      </c>
      <c r="K84" s="196">
        <f t="shared" si="34"/>
        <v>62745.98930481256</v>
      </c>
      <c r="L84" s="200">
        <f>IF(I84="","",(E84+I84)*J84)</f>
        <v>2491.015775401059</v>
      </c>
      <c r="M84" s="200">
        <f t="shared" si="14"/>
        <v>2217.0040401069423</v>
      </c>
      <c r="N84" s="37"/>
    </row>
    <row r="85" spans="1:14" s="205" customFormat="1" ht="12.75">
      <c r="A85" s="193">
        <v>40148</v>
      </c>
      <c r="B85" s="199">
        <v>40162</v>
      </c>
      <c r="C85" s="389">
        <v>28227.73</v>
      </c>
      <c r="D85" s="195">
        <f t="shared" si="28"/>
        <v>372220.00000000116</v>
      </c>
      <c r="E85" s="390">
        <f t="shared" si="29"/>
        <v>49762.03208556165</v>
      </c>
      <c r="F85" s="199">
        <v>40162</v>
      </c>
      <c r="G85" s="390">
        <v>94907</v>
      </c>
      <c r="H85" s="195">
        <f t="shared" si="32"/>
        <v>60900</v>
      </c>
      <c r="I85" s="195">
        <f t="shared" si="30"/>
        <v>8141.711229946523</v>
      </c>
      <c r="J85" s="204">
        <v>0.039700000000000006</v>
      </c>
      <c r="K85" s="196">
        <f t="shared" si="34"/>
        <v>57903.743315508174</v>
      </c>
      <c r="L85" s="200">
        <f aca="true" t="shared" si="35" ref="L85:L91">IF(I85="","",(E85+I85)*J85)</f>
        <v>2298.778609625675</v>
      </c>
      <c r="M85" s="200">
        <f t="shared" si="14"/>
        <v>2045.9129625668509</v>
      </c>
      <c r="N85" s="37"/>
    </row>
    <row r="86" spans="1:14" s="313" customFormat="1" ht="12.75">
      <c r="A86" s="193">
        <v>40179</v>
      </c>
      <c r="B86" s="199">
        <v>40193</v>
      </c>
      <c r="C86" s="389">
        <v>28506.26</v>
      </c>
      <c r="D86" s="195">
        <f t="shared" si="28"/>
        <v>278529.99999999884</v>
      </c>
      <c r="E86" s="390">
        <f t="shared" si="29"/>
        <v>37236.63101604262</v>
      </c>
      <c r="F86" s="199">
        <v>40193</v>
      </c>
      <c r="G86" s="390">
        <v>95269</v>
      </c>
      <c r="H86" s="195">
        <f t="shared" si="32"/>
        <v>36200</v>
      </c>
      <c r="I86" s="195">
        <f t="shared" si="30"/>
        <v>4839.5721925133685</v>
      </c>
      <c r="J86" s="204">
        <v>0.039700000000000006</v>
      </c>
      <c r="K86" s="196">
        <f t="shared" si="34"/>
        <v>42076.20320855599</v>
      </c>
      <c r="L86" s="200">
        <f t="shared" si="35"/>
        <v>1670.4252673796732</v>
      </c>
      <c r="M86" s="200">
        <f t="shared" si="14"/>
        <v>1486.6784879679092</v>
      </c>
      <c r="N86" s="40"/>
    </row>
    <row r="87" spans="1:14" s="313" customFormat="1" ht="12.75">
      <c r="A87" s="193">
        <v>40210</v>
      </c>
      <c r="B87" s="199">
        <v>40224</v>
      </c>
      <c r="C87" s="389">
        <v>28858.19</v>
      </c>
      <c r="D87" s="195">
        <f t="shared" si="28"/>
        <v>351930.0000000003</v>
      </c>
      <c r="E87" s="390">
        <f t="shared" si="29"/>
        <v>47049.465240641744</v>
      </c>
      <c r="F87" s="199">
        <v>40224</v>
      </c>
      <c r="G87" s="390">
        <v>96002</v>
      </c>
      <c r="H87" s="195">
        <f t="shared" si="32"/>
        <v>73300</v>
      </c>
      <c r="I87" s="195">
        <f t="shared" si="30"/>
        <v>9799.46524064171</v>
      </c>
      <c r="J87" s="204">
        <v>0.039700000000000006</v>
      </c>
      <c r="K87" s="196">
        <f t="shared" si="34"/>
        <v>56848.93048128345</v>
      </c>
      <c r="L87" s="200">
        <f t="shared" si="35"/>
        <v>2256.9025401069534</v>
      </c>
      <c r="M87" s="200">
        <f t="shared" si="14"/>
        <v>2008.6432606951887</v>
      </c>
      <c r="N87" s="40"/>
    </row>
    <row r="88" spans="1:14" s="313" customFormat="1" ht="12.75">
      <c r="A88" s="193">
        <v>40238</v>
      </c>
      <c r="B88" s="199">
        <v>40252</v>
      </c>
      <c r="C88" s="389">
        <v>29185.66</v>
      </c>
      <c r="D88" s="195">
        <f t="shared" si="28"/>
        <v>327470.00000000116</v>
      </c>
      <c r="E88" s="390">
        <f t="shared" si="29"/>
        <v>43779.411764706034</v>
      </c>
      <c r="F88" s="199">
        <v>40252</v>
      </c>
      <c r="G88" s="390">
        <v>96584</v>
      </c>
      <c r="H88" s="195">
        <f t="shared" si="32"/>
        <v>58200</v>
      </c>
      <c r="I88" s="195">
        <f t="shared" si="30"/>
        <v>7780.748663101604</v>
      </c>
      <c r="J88" s="204">
        <v>0.039700000000000006</v>
      </c>
      <c r="K88" s="196">
        <f t="shared" si="34"/>
        <v>51560.16042780764</v>
      </c>
      <c r="L88" s="200">
        <f t="shared" si="35"/>
        <v>2046.9383689839638</v>
      </c>
      <c r="M88" s="200">
        <f t="shared" si="14"/>
        <v>1821.7751483957277</v>
      </c>
      <c r="N88" s="40"/>
    </row>
    <row r="89" spans="1:14" s="313" customFormat="1" ht="12.75">
      <c r="A89" s="193">
        <v>40269</v>
      </c>
      <c r="B89" s="199">
        <v>40284</v>
      </c>
      <c r="C89" s="389">
        <v>29610.54</v>
      </c>
      <c r="D89" s="195">
        <f t="shared" si="28"/>
        <v>424880.00000000105</v>
      </c>
      <c r="E89" s="390">
        <f t="shared" si="29"/>
        <v>56802.13903743329</v>
      </c>
      <c r="F89" s="199">
        <v>40284</v>
      </c>
      <c r="G89" s="390">
        <v>97423</v>
      </c>
      <c r="H89" s="195">
        <f t="shared" si="32"/>
        <v>83900</v>
      </c>
      <c r="I89" s="195">
        <f t="shared" si="30"/>
        <v>11216.577540106951</v>
      </c>
      <c r="J89" s="204">
        <v>0.039700000000000006</v>
      </c>
      <c r="K89" s="196">
        <f t="shared" si="34"/>
        <v>68018.71657754024</v>
      </c>
      <c r="L89" s="200">
        <f t="shared" si="35"/>
        <v>2700.343048128348</v>
      </c>
      <c r="M89" s="200">
        <f t="shared" si="14"/>
        <v>2403.30531283423</v>
      </c>
      <c r="N89" s="40"/>
    </row>
    <row r="90" spans="1:14" s="313" customFormat="1" ht="12.75">
      <c r="A90" s="193">
        <v>40299</v>
      </c>
      <c r="B90" s="199">
        <v>40312</v>
      </c>
      <c r="C90" s="389">
        <v>29889.86</v>
      </c>
      <c r="D90" s="195">
        <f t="shared" si="28"/>
        <v>279319.9999999997</v>
      </c>
      <c r="E90" s="390">
        <f t="shared" si="29"/>
        <v>37342.24598930477</v>
      </c>
      <c r="F90" s="199">
        <v>40312</v>
      </c>
      <c r="G90" s="390">
        <v>97944</v>
      </c>
      <c r="H90" s="195">
        <f t="shared" si="32"/>
        <v>52100</v>
      </c>
      <c r="I90" s="195">
        <f t="shared" si="30"/>
        <v>6965.24064171123</v>
      </c>
      <c r="J90" s="204">
        <v>0.039700000000000006</v>
      </c>
      <c r="K90" s="196">
        <f t="shared" si="34"/>
        <v>44307.486631016</v>
      </c>
      <c r="L90" s="200">
        <f t="shared" si="35"/>
        <v>1759.0072192513355</v>
      </c>
      <c r="M90" s="200">
        <f t="shared" si="14"/>
        <v>1565.5164251336887</v>
      </c>
      <c r="N90" s="40"/>
    </row>
    <row r="91" spans="1:14" s="313" customFormat="1" ht="13.5" thickBot="1">
      <c r="A91" s="353">
        <v>40330</v>
      </c>
      <c r="B91" s="346">
        <v>40343</v>
      </c>
      <c r="C91" s="247">
        <v>30204.52</v>
      </c>
      <c r="D91" s="371">
        <f t="shared" si="28"/>
        <v>314659.9999999999</v>
      </c>
      <c r="E91" s="435">
        <f t="shared" si="29"/>
        <v>42066.844919786075</v>
      </c>
      <c r="F91" s="346">
        <v>40343</v>
      </c>
      <c r="G91" s="435">
        <v>100049</v>
      </c>
      <c r="H91" s="371">
        <f t="shared" si="32"/>
        <v>210500</v>
      </c>
      <c r="I91" s="371">
        <f t="shared" si="30"/>
        <v>28141.711229946523</v>
      </c>
      <c r="J91" s="436">
        <v>0.039700000000000006</v>
      </c>
      <c r="K91" s="437">
        <f t="shared" si="34"/>
        <v>70208.5561497326</v>
      </c>
      <c r="L91" s="429">
        <f t="shared" si="35"/>
        <v>2787.2796791443848</v>
      </c>
      <c r="M91" s="429">
        <f t="shared" si="14"/>
        <v>2480.6789144385025</v>
      </c>
      <c r="N91" s="391">
        <f>SUM(M80:M91)</f>
        <v>27000.55276203209</v>
      </c>
    </row>
    <row r="92" spans="1:14" s="313" customFormat="1" ht="12.75">
      <c r="A92" s="242">
        <v>40360</v>
      </c>
      <c r="B92" s="273">
        <v>40375</v>
      </c>
      <c r="C92" s="387">
        <v>30540.74</v>
      </c>
      <c r="D92" s="231">
        <f t="shared" si="28"/>
        <v>336220.00000000116</v>
      </c>
      <c r="E92" s="388">
        <f t="shared" si="29"/>
        <v>44949.19786096272</v>
      </c>
      <c r="F92" s="273">
        <v>40375</v>
      </c>
      <c r="G92" s="388">
        <v>102922</v>
      </c>
      <c r="H92" s="231">
        <f t="shared" si="32"/>
        <v>287300</v>
      </c>
      <c r="I92" s="231">
        <f t="shared" si="30"/>
        <v>38409.090909090904</v>
      </c>
      <c r="J92" s="311">
        <f>Rates!$E$31</f>
        <v>0.038500000000000006</v>
      </c>
      <c r="K92" s="268">
        <f>E92+I92</f>
        <v>83358.28877005362</v>
      </c>
      <c r="L92" s="312">
        <f>IF(I92="","",(E92+I92)*J92)</f>
        <v>3209.294117647065</v>
      </c>
      <c r="M92" s="312">
        <f>IF(L92="","",L92*0.89)</f>
        <v>2856.271764705888</v>
      </c>
      <c r="N92" s="391"/>
    </row>
    <row r="93" spans="1:14" s="313" customFormat="1" ht="12.75">
      <c r="A93" s="193">
        <v>40391</v>
      </c>
      <c r="B93" s="199">
        <v>40406</v>
      </c>
      <c r="C93" s="389">
        <v>30845.62</v>
      </c>
      <c r="D93" s="195">
        <f t="shared" si="28"/>
        <v>304879.9999999974</v>
      </c>
      <c r="E93" s="390">
        <f t="shared" si="29"/>
        <v>40759.3582887697</v>
      </c>
      <c r="F93" s="199">
        <v>40406</v>
      </c>
      <c r="G93" s="390">
        <v>105987</v>
      </c>
      <c r="H93" s="195">
        <f t="shared" si="32"/>
        <v>306500</v>
      </c>
      <c r="I93" s="195">
        <f t="shared" si="30"/>
        <v>40975.935828877</v>
      </c>
      <c r="J93" s="204">
        <f>Rates!$E$31</f>
        <v>0.038500000000000006</v>
      </c>
      <c r="K93" s="196">
        <f>E93+I93</f>
        <v>81735.2941176467</v>
      </c>
      <c r="L93" s="200">
        <f>IF(I93="","",(E93+I93)*J93)</f>
        <v>3146.8088235293985</v>
      </c>
      <c r="M93" s="200">
        <f>IF(L93="","",L93*0.89)</f>
        <v>2800.659852941165</v>
      </c>
      <c r="N93" s="391"/>
    </row>
    <row r="94" spans="1:14" s="313" customFormat="1" ht="13.5" thickBot="1">
      <c r="A94" s="350">
        <v>40422</v>
      </c>
      <c r="B94" s="346">
        <v>40346</v>
      </c>
      <c r="C94" s="247">
        <v>31246.44</v>
      </c>
      <c r="D94" s="371">
        <f t="shared" si="28"/>
        <v>400819.9999999997</v>
      </c>
      <c r="E94" s="435">
        <f t="shared" si="29"/>
        <v>53585.56149732616</v>
      </c>
      <c r="F94" s="346">
        <v>40438</v>
      </c>
      <c r="G94" s="435">
        <v>108809</v>
      </c>
      <c r="H94" s="371">
        <f t="shared" si="32"/>
        <v>282200</v>
      </c>
      <c r="I94" s="371">
        <f t="shared" si="30"/>
        <v>37727.27272727273</v>
      </c>
      <c r="J94" s="436">
        <f>Rates!$E$31</f>
        <v>0.038500000000000006</v>
      </c>
      <c r="K94" s="437">
        <f>E94+I94</f>
        <v>91312.83422459889</v>
      </c>
      <c r="L94" s="429">
        <f>IF(I94="","",(E94+I94)*J94)</f>
        <v>3515.5441176470576</v>
      </c>
      <c r="M94" s="429">
        <f>IF(L94="","",L94*0.89)</f>
        <v>3128.834264705881</v>
      </c>
      <c r="N94" s="391"/>
    </row>
    <row r="95" spans="1:14" s="313" customFormat="1" ht="12.75">
      <c r="A95" s="438">
        <v>40452</v>
      </c>
      <c r="B95" s="450">
        <v>40466</v>
      </c>
      <c r="C95" s="244">
        <v>31609.87</v>
      </c>
      <c r="D95" s="357">
        <f t="shared" si="28"/>
        <v>363430.0000000003</v>
      </c>
      <c r="E95" s="388">
        <f t="shared" si="29"/>
        <v>48586.89839572196</v>
      </c>
      <c r="F95" s="450">
        <v>40466</v>
      </c>
      <c r="G95" s="231">
        <v>110597</v>
      </c>
      <c r="H95" s="357">
        <f t="shared" si="32"/>
        <v>178800</v>
      </c>
      <c r="I95" s="231">
        <f t="shared" si="30"/>
        <v>23903.74331550802</v>
      </c>
      <c r="J95" s="311">
        <f>Rates!$E$31</f>
        <v>0.038500000000000006</v>
      </c>
      <c r="K95" s="268">
        <f aca="true" t="shared" si="36" ref="K95:K100">E95+I95</f>
        <v>72490.64171122998</v>
      </c>
      <c r="L95" s="312">
        <f aca="true" t="shared" si="37" ref="L95:L100">IF(I95="","",(E95+I95)*J95)</f>
        <v>2790.889705882355</v>
      </c>
      <c r="M95" s="312">
        <f aca="true" t="shared" si="38" ref="M95:M103">IF(L95="","",L95*0.89)</f>
        <v>2483.891838235296</v>
      </c>
      <c r="N95" s="391"/>
    </row>
    <row r="96" spans="1:14" s="313" customFormat="1" ht="12.75">
      <c r="A96" s="193">
        <v>40483</v>
      </c>
      <c r="B96" s="449">
        <v>40497</v>
      </c>
      <c r="C96" s="234">
        <v>32051.32</v>
      </c>
      <c r="D96" s="356">
        <f t="shared" si="28"/>
        <v>441450.0000000007</v>
      </c>
      <c r="E96" s="390">
        <f t="shared" si="29"/>
        <v>59017.37967914448</v>
      </c>
      <c r="F96" s="449">
        <v>40497</v>
      </c>
      <c r="G96" s="195">
        <v>111673</v>
      </c>
      <c r="H96" s="356">
        <f t="shared" si="32"/>
        <v>107600</v>
      </c>
      <c r="I96" s="195">
        <f t="shared" si="30"/>
        <v>14385.026737967914</v>
      </c>
      <c r="J96" s="204">
        <f>Rates!$E$31</f>
        <v>0.038500000000000006</v>
      </c>
      <c r="K96" s="196">
        <f t="shared" si="36"/>
        <v>73402.40641711239</v>
      </c>
      <c r="L96" s="200">
        <f t="shared" si="37"/>
        <v>2825.9926470588275</v>
      </c>
      <c r="M96" s="200">
        <f t="shared" si="38"/>
        <v>2515.1334558823564</v>
      </c>
      <c r="N96" s="391"/>
    </row>
    <row r="97" spans="1:14" s="313" customFormat="1" ht="13.5" thickBot="1">
      <c r="A97" s="353">
        <v>40513</v>
      </c>
      <c r="B97" s="463">
        <v>40526</v>
      </c>
      <c r="C97" s="379">
        <v>32426.29</v>
      </c>
      <c r="D97" s="428">
        <f t="shared" si="28"/>
        <v>374970.00000000116</v>
      </c>
      <c r="E97" s="435">
        <f t="shared" si="29"/>
        <v>50129.679144385176</v>
      </c>
      <c r="F97" s="463">
        <v>40526</v>
      </c>
      <c r="G97" s="371">
        <v>112323</v>
      </c>
      <c r="H97" s="428">
        <f t="shared" si="32"/>
        <v>65000</v>
      </c>
      <c r="I97" s="371">
        <f t="shared" si="30"/>
        <v>8689.839572192514</v>
      </c>
      <c r="J97" s="436">
        <f>Rates!$E$31</f>
        <v>0.038500000000000006</v>
      </c>
      <c r="K97" s="437">
        <f t="shared" si="36"/>
        <v>58819.51871657769</v>
      </c>
      <c r="L97" s="429">
        <f t="shared" si="37"/>
        <v>2264.5514705882415</v>
      </c>
      <c r="M97" s="429">
        <f t="shared" si="38"/>
        <v>2015.450808823535</v>
      </c>
      <c r="N97" s="391"/>
    </row>
    <row r="98" spans="1:14" s="313" customFormat="1" ht="12.75">
      <c r="A98" s="242">
        <v>40544</v>
      </c>
      <c r="B98" s="273">
        <v>40560</v>
      </c>
      <c r="C98" s="244">
        <v>32776.1</v>
      </c>
      <c r="D98" s="388">
        <f t="shared" si="28"/>
        <v>349809.9999999977</v>
      </c>
      <c r="E98" s="231">
        <f t="shared" si="29"/>
        <v>46766.04278074835</v>
      </c>
      <c r="F98" s="476">
        <v>40560</v>
      </c>
      <c r="G98" s="231">
        <v>112718</v>
      </c>
      <c r="H98" s="388">
        <f t="shared" si="32"/>
        <v>39500</v>
      </c>
      <c r="I98" s="231">
        <f t="shared" si="30"/>
        <v>5280.748663101604</v>
      </c>
      <c r="J98" s="477">
        <f>Rates!$E$31</f>
        <v>0.038500000000000006</v>
      </c>
      <c r="K98" s="231">
        <f t="shared" si="36"/>
        <v>52046.79144384996</v>
      </c>
      <c r="L98" s="274">
        <f t="shared" si="37"/>
        <v>2003.8014705882238</v>
      </c>
      <c r="M98" s="312">
        <f t="shared" si="38"/>
        <v>1783.3833088235192</v>
      </c>
      <c r="N98" s="391"/>
    </row>
    <row r="99" spans="1:14" s="313" customFormat="1" ht="12.75">
      <c r="A99" s="193">
        <v>40575</v>
      </c>
      <c r="B99" s="199">
        <v>40588</v>
      </c>
      <c r="C99" s="234">
        <v>33090.71</v>
      </c>
      <c r="D99" s="390">
        <f t="shared" si="28"/>
        <v>314610.0000000006</v>
      </c>
      <c r="E99" s="195">
        <f t="shared" si="29"/>
        <v>42060.16042780756</v>
      </c>
      <c r="F99" s="344">
        <v>40588</v>
      </c>
      <c r="G99" s="195">
        <v>113403</v>
      </c>
      <c r="H99" s="390">
        <f t="shared" si="32"/>
        <v>68500</v>
      </c>
      <c r="I99" s="195">
        <f t="shared" si="30"/>
        <v>9157.754010695187</v>
      </c>
      <c r="J99" s="475">
        <f>Rates!$E$31</f>
        <v>0.038500000000000006</v>
      </c>
      <c r="K99" s="195">
        <f t="shared" si="36"/>
        <v>51217.91443850275</v>
      </c>
      <c r="L99" s="201">
        <f t="shared" si="37"/>
        <v>1971.889705882356</v>
      </c>
      <c r="M99" s="200">
        <f t="shared" si="38"/>
        <v>1754.981838235297</v>
      </c>
      <c r="N99" s="391"/>
    </row>
    <row r="100" spans="1:14" s="313" customFormat="1" ht="13.5" thickBot="1">
      <c r="A100" s="350">
        <v>40603</v>
      </c>
      <c r="B100" s="352">
        <v>40619</v>
      </c>
      <c r="C100" s="367">
        <v>33393.33</v>
      </c>
      <c r="D100" s="442">
        <f t="shared" si="28"/>
        <v>302620.0000000026</v>
      </c>
      <c r="E100" s="361">
        <f t="shared" si="29"/>
        <v>40457.21925133724</v>
      </c>
      <c r="F100" s="478">
        <v>40619</v>
      </c>
      <c r="G100" s="361">
        <v>114130</v>
      </c>
      <c r="H100" s="442">
        <f t="shared" si="32"/>
        <v>72700</v>
      </c>
      <c r="I100" s="361">
        <f t="shared" si="30"/>
        <v>9719.251336898395</v>
      </c>
      <c r="J100" s="479">
        <f>Rates!$E$31</f>
        <v>0.038500000000000006</v>
      </c>
      <c r="K100" s="361">
        <f t="shared" si="36"/>
        <v>50176.470588235636</v>
      </c>
      <c r="L100" s="365">
        <f t="shared" si="37"/>
        <v>1931.7941176470722</v>
      </c>
      <c r="M100" s="364">
        <f t="shared" si="38"/>
        <v>1719.2967647058942</v>
      </c>
      <c r="N100" s="391"/>
    </row>
    <row r="101" spans="1:14" s="313" customFormat="1" ht="12.75">
      <c r="A101" s="438">
        <v>40634</v>
      </c>
      <c r="B101" s="415">
        <v>40648</v>
      </c>
      <c r="C101" s="516">
        <v>33677.95</v>
      </c>
      <c r="D101" s="416">
        <f t="shared" si="28"/>
        <v>284619.99999999534</v>
      </c>
      <c r="E101" s="508">
        <f t="shared" si="29"/>
        <v>38050.80213903681</v>
      </c>
      <c r="F101" s="415">
        <v>40648</v>
      </c>
      <c r="G101" s="508">
        <v>114861</v>
      </c>
      <c r="H101" s="416">
        <f t="shared" si="32"/>
        <v>73100</v>
      </c>
      <c r="I101" s="508">
        <f t="shared" si="30"/>
        <v>9772.727272727272</v>
      </c>
      <c r="J101" s="477">
        <f>Rates!$E$31</f>
        <v>0.038500000000000006</v>
      </c>
      <c r="K101" s="231">
        <f>E101+I101</f>
        <v>47823.52941176408</v>
      </c>
      <c r="L101" s="274">
        <f>K101*J101</f>
        <v>1841.2058823529173</v>
      </c>
      <c r="M101" s="312">
        <f t="shared" si="38"/>
        <v>1638.6732352940965</v>
      </c>
      <c r="N101" s="391"/>
    </row>
    <row r="102" spans="1:14" s="313" customFormat="1" ht="12.75">
      <c r="A102" s="193">
        <v>40664</v>
      </c>
      <c r="B102" s="449">
        <v>40679</v>
      </c>
      <c r="C102" s="234">
        <v>33938.73</v>
      </c>
      <c r="D102" s="390">
        <f t="shared" si="28"/>
        <v>260780.0000000061</v>
      </c>
      <c r="E102" s="195">
        <f t="shared" si="29"/>
        <v>34863.636363637175</v>
      </c>
      <c r="F102" s="344">
        <v>40679</v>
      </c>
      <c r="G102" s="195">
        <v>115442</v>
      </c>
      <c r="H102" s="390">
        <f t="shared" si="32"/>
        <v>58100</v>
      </c>
      <c r="I102" s="195">
        <f t="shared" si="30"/>
        <v>7767.379679144385</v>
      </c>
      <c r="J102" s="475">
        <f>Rates!$E$31</f>
        <v>0.038500000000000006</v>
      </c>
      <c r="K102" s="195">
        <f>E102+I102</f>
        <v>42631.01604278156</v>
      </c>
      <c r="L102" s="201">
        <f>K102*J102</f>
        <v>1641.2941176470902</v>
      </c>
      <c r="M102" s="200">
        <f t="shared" si="38"/>
        <v>1460.7517647059103</v>
      </c>
      <c r="N102" s="391"/>
    </row>
    <row r="103" spans="1:14" s="313" customFormat="1" ht="13.5" thickBot="1">
      <c r="A103" s="350">
        <v>40695</v>
      </c>
      <c r="B103" s="430">
        <v>40711</v>
      </c>
      <c r="C103" s="517">
        <v>34213.53</v>
      </c>
      <c r="D103" s="431">
        <f t="shared" si="28"/>
        <v>274799.99999999563</v>
      </c>
      <c r="E103" s="509">
        <f t="shared" si="29"/>
        <v>36737.96791443792</v>
      </c>
      <c r="F103" s="430">
        <v>40711</v>
      </c>
      <c r="G103" s="509">
        <v>116499</v>
      </c>
      <c r="H103" s="431">
        <f t="shared" si="32"/>
        <v>105700</v>
      </c>
      <c r="I103" s="509">
        <f t="shared" si="30"/>
        <v>14131.016042780748</v>
      </c>
      <c r="J103" s="479">
        <f>Rates!$E$31</f>
        <v>0.038500000000000006</v>
      </c>
      <c r="K103" s="361">
        <f>E103+I103</f>
        <v>50868.98395721867</v>
      </c>
      <c r="L103" s="365">
        <f>K103*J103</f>
        <v>1958.4558823529192</v>
      </c>
      <c r="M103" s="364">
        <f t="shared" si="38"/>
        <v>1743.025735294098</v>
      </c>
      <c r="N103" s="391"/>
    </row>
    <row r="105" ht="12.75">
      <c r="B105" s="28" t="s">
        <v>45</v>
      </c>
    </row>
    <row r="108" ht="12.75">
      <c r="I108" s="191"/>
    </row>
  </sheetData>
  <sheetProtection/>
  <mergeCells count="4">
    <mergeCell ref="A1:H1"/>
    <mergeCell ref="A2:H2"/>
    <mergeCell ref="B4:E4"/>
    <mergeCell ref="F4:I4"/>
  </mergeCells>
  <printOptions horizontalCentered="1"/>
  <pageMargins left="0.5" right="0.5" top="0.66" bottom="0.73" header="0.5" footer="0.5"/>
  <pageSetup fitToHeight="1" fitToWidth="1" horizontalDpi="300" verticalDpi="300" orientation="landscape" scale="49" r:id="rId1"/>
  <headerFooter alignWithMargins="0">
    <oddFooter>&amp;L&amp;D&amp;Rpage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zoomScalePageLayoutView="0" workbookViewId="0" topLeftCell="A16">
      <selection activeCell="E5" sqref="E5"/>
    </sheetView>
  </sheetViews>
  <sheetFormatPr defaultColWidth="9.140625" defaultRowHeight="12.75"/>
  <cols>
    <col min="1" max="1" width="6.57421875" style="5" customWidth="1"/>
    <col min="2" max="2" width="25.140625" style="5" customWidth="1"/>
    <col min="3" max="5" width="13.8515625" style="5" customWidth="1"/>
    <col min="6" max="6" width="16.57421875" style="5" customWidth="1"/>
    <col min="7" max="7" width="13.140625" style="66" customWidth="1"/>
    <col min="8" max="9" width="13.8515625" style="5" customWidth="1"/>
    <col min="10" max="10" width="10.57421875" style="5" customWidth="1"/>
    <col min="11" max="11" width="11.140625" style="5" customWidth="1"/>
    <col min="12" max="12" width="14.421875" style="5" customWidth="1"/>
    <col min="13" max="13" width="8.57421875" style="5" customWidth="1"/>
    <col min="14" max="16384" width="9.140625" style="5" customWidth="1"/>
  </cols>
  <sheetData>
    <row r="1" spans="2:10" ht="18">
      <c r="B1" s="505" t="s">
        <v>59</v>
      </c>
      <c r="C1" s="505"/>
      <c r="D1" s="505"/>
      <c r="E1" s="505"/>
      <c r="F1" s="505"/>
      <c r="G1" s="505"/>
      <c r="H1" s="49"/>
      <c r="I1" s="49"/>
      <c r="J1" s="49"/>
    </row>
    <row r="2" spans="2:10" ht="18">
      <c r="B2" s="506" t="s">
        <v>106</v>
      </c>
      <c r="C2" s="506"/>
      <c r="D2" s="506"/>
      <c r="E2" s="506"/>
      <c r="F2" s="506"/>
      <c r="G2" s="506"/>
      <c r="H2" s="50"/>
      <c r="I2" s="50"/>
      <c r="J2" s="50"/>
    </row>
    <row r="3" spans="2:10" ht="12.75">
      <c r="B3" s="43"/>
      <c r="C3" s="51"/>
      <c r="D3" s="51"/>
      <c r="E3" s="51"/>
      <c r="F3" s="51"/>
      <c r="G3" s="51"/>
      <c r="I3" s="29"/>
      <c r="J3" s="29"/>
    </row>
    <row r="4" spans="2:38" s="40" customFormat="1" ht="12.75">
      <c r="B4" s="52"/>
      <c r="C4" s="53"/>
      <c r="D4" s="54"/>
      <c r="E4" s="53"/>
      <c r="F4" s="54"/>
      <c r="G4" s="53"/>
      <c r="H4" s="54"/>
      <c r="I4" s="53"/>
      <c r="J4" s="54"/>
      <c r="K4" s="5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2:38" s="40" customFormat="1" ht="18">
      <c r="B5" s="55" t="s">
        <v>60</v>
      </c>
      <c r="C5" s="56"/>
      <c r="D5" s="57"/>
      <c r="E5" s="56"/>
      <c r="F5" s="57"/>
      <c r="G5" s="56"/>
      <c r="H5" s="57"/>
      <c r="I5" s="56"/>
      <c r="J5" s="57"/>
      <c r="K5" s="5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s="40" customFormat="1" ht="15">
      <c r="B6" s="58" t="s">
        <v>56</v>
      </c>
      <c r="C6" s="22"/>
      <c r="D6" s="23"/>
      <c r="E6" s="30">
        <v>0.077</v>
      </c>
      <c r="F6" s="25" t="s">
        <v>57</v>
      </c>
      <c r="G6" s="22"/>
      <c r="H6" s="26"/>
      <c r="I6" s="59"/>
      <c r="J6" s="59"/>
      <c r="K6" s="5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2:38" s="40" customFormat="1" ht="15">
      <c r="B7" s="58" t="s">
        <v>49</v>
      </c>
      <c r="C7" s="22"/>
      <c r="D7" s="23"/>
      <c r="E7" s="30">
        <v>0</v>
      </c>
      <c r="F7" s="25" t="s">
        <v>57</v>
      </c>
      <c r="G7" s="22"/>
      <c r="H7" s="23"/>
      <c r="I7" s="22"/>
      <c r="J7" s="23"/>
      <c r="K7" s="22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2:38" s="40" customFormat="1" ht="15">
      <c r="B8" s="58" t="s">
        <v>96</v>
      </c>
      <c r="C8" s="22"/>
      <c r="D8" s="23"/>
      <c r="E8" s="30">
        <v>0.01</v>
      </c>
      <c r="F8" s="25" t="s">
        <v>57</v>
      </c>
      <c r="G8" s="22"/>
      <c r="H8" s="298"/>
      <c r="I8" s="60"/>
      <c r="J8" s="23"/>
      <c r="K8" s="2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2:38" s="40" customFormat="1" ht="15.75" thickBot="1">
      <c r="B9" s="58"/>
      <c r="C9" s="22"/>
      <c r="D9" s="23"/>
      <c r="E9" s="30"/>
      <c r="F9" s="25"/>
      <c r="G9" s="22"/>
      <c r="H9" s="298"/>
      <c r="I9" s="60"/>
      <c r="J9" s="23"/>
      <c r="K9" s="2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2:11" s="40" customFormat="1" ht="15.75" thickBot="1">
      <c r="B10" s="31" t="s">
        <v>52</v>
      </c>
      <c r="C10" s="22"/>
      <c r="D10" s="23"/>
      <c r="E10" s="418">
        <f>SUM(E6:E8)</f>
        <v>0.087</v>
      </c>
      <c r="F10" s="61" t="s">
        <v>57</v>
      </c>
      <c r="G10" s="22"/>
      <c r="H10" s="23"/>
      <c r="I10" s="22"/>
      <c r="J10" s="23"/>
      <c r="K10" s="22"/>
    </row>
    <row r="11" spans="2:11" s="40" customFormat="1" ht="15">
      <c r="B11" s="31"/>
      <c r="C11" s="22"/>
      <c r="D11" s="23"/>
      <c r="E11" s="30"/>
      <c r="F11" s="25"/>
      <c r="G11" s="22"/>
      <c r="H11" s="23"/>
      <c r="I11" s="22"/>
      <c r="J11" s="23"/>
      <c r="K11" s="22"/>
    </row>
    <row r="12" spans="2:11" s="40" customFormat="1" ht="14.25">
      <c r="B12" s="62" t="s">
        <v>61</v>
      </c>
      <c r="C12" s="22"/>
      <c r="D12" s="23"/>
      <c r="E12" s="30"/>
      <c r="F12" s="25"/>
      <c r="G12" s="22"/>
      <c r="H12" s="23"/>
      <c r="I12" s="22"/>
      <c r="J12" s="23"/>
      <c r="K12" s="22"/>
    </row>
    <row r="13" spans="2:11" s="40" customFormat="1" ht="15">
      <c r="B13" s="31"/>
      <c r="C13" s="26"/>
      <c r="D13" s="23"/>
      <c r="E13" s="27"/>
      <c r="F13" s="25"/>
      <c r="G13" s="22"/>
      <c r="H13" s="23"/>
      <c r="I13" s="22"/>
      <c r="J13" s="23"/>
      <c r="K13" s="22"/>
    </row>
    <row r="14" spans="2:11" ht="18">
      <c r="B14" s="55" t="s">
        <v>62</v>
      </c>
      <c r="C14" s="56"/>
      <c r="D14" s="57"/>
      <c r="E14" s="56"/>
      <c r="F14" s="57"/>
      <c r="G14" s="63"/>
      <c r="K14" s="40"/>
    </row>
    <row r="15" spans="2:11" ht="15">
      <c r="B15" s="58" t="s">
        <v>47</v>
      </c>
      <c r="C15" s="22"/>
      <c r="D15" s="23"/>
      <c r="E15" s="30">
        <v>7.9</v>
      </c>
      <c r="F15" s="25" t="s">
        <v>48</v>
      </c>
      <c r="G15" s="63"/>
      <c r="H15" s="298"/>
      <c r="K15" s="40"/>
    </row>
    <row r="16" spans="2:8" ht="15">
      <c r="B16" s="58" t="s">
        <v>49</v>
      </c>
      <c r="C16" s="22"/>
      <c r="D16" s="23"/>
      <c r="E16" s="24">
        <v>0.66</v>
      </c>
      <c r="F16" s="25" t="s">
        <v>48</v>
      </c>
      <c r="G16" s="63"/>
      <c r="H16" s="298"/>
    </row>
    <row r="17" spans="2:8" ht="15">
      <c r="B17" s="58" t="s">
        <v>96</v>
      </c>
      <c r="C17" s="22"/>
      <c r="D17" s="23"/>
      <c r="E17" s="24">
        <v>1.1</v>
      </c>
      <c r="F17" s="25" t="s">
        <v>48</v>
      </c>
      <c r="G17" s="63"/>
      <c r="H17" s="298"/>
    </row>
    <row r="18" spans="2:8" ht="15">
      <c r="B18" s="58"/>
      <c r="C18" s="22"/>
      <c r="D18" s="23"/>
      <c r="E18" s="24"/>
      <c r="F18" s="25"/>
      <c r="G18" s="63"/>
      <c r="H18" s="298"/>
    </row>
    <row r="19" spans="2:7" ht="15">
      <c r="B19" s="58" t="s">
        <v>50</v>
      </c>
      <c r="C19" s="22"/>
      <c r="D19" s="23"/>
      <c r="E19" s="24">
        <f>SUM(E15:E17)</f>
        <v>9.66</v>
      </c>
      <c r="F19" s="25" t="s">
        <v>48</v>
      </c>
      <c r="G19" s="63"/>
    </row>
    <row r="20" spans="2:7" ht="15">
      <c r="B20" s="31" t="s">
        <v>51</v>
      </c>
      <c r="C20" s="26"/>
      <c r="D20" s="27">
        <v>1</v>
      </c>
      <c r="F20" s="25" t="s">
        <v>98</v>
      </c>
      <c r="G20" s="63"/>
    </row>
    <row r="21" spans="2:7" ht="15">
      <c r="B21" s="51"/>
      <c r="C21" s="26"/>
      <c r="D21" s="23"/>
      <c r="E21" s="68">
        <f>E19/D20</f>
        <v>9.66</v>
      </c>
      <c r="F21" s="61" t="s">
        <v>53</v>
      </c>
      <c r="G21" s="330"/>
    </row>
    <row r="22" spans="2:8" ht="15">
      <c r="B22" s="31" t="s">
        <v>52</v>
      </c>
      <c r="C22" s="26"/>
      <c r="D22" s="23"/>
      <c r="E22" s="330">
        <f>E21/10</f>
        <v>0.966</v>
      </c>
      <c r="F22" s="25" t="s">
        <v>63</v>
      </c>
      <c r="G22" s="330"/>
      <c r="H22" s="15"/>
    </row>
    <row r="23" spans="2:7" ht="12.75">
      <c r="B23" s="51"/>
      <c r="C23" s="51"/>
      <c r="D23" s="51"/>
      <c r="E23" s="51"/>
      <c r="F23" s="51"/>
      <c r="G23" s="63"/>
    </row>
    <row r="24" spans="2:7" ht="12.75">
      <c r="B24" s="67" t="s">
        <v>64</v>
      </c>
      <c r="C24" s="51"/>
      <c r="D24" s="51"/>
      <c r="E24" s="51"/>
      <c r="F24" s="51"/>
      <c r="G24" s="63"/>
    </row>
    <row r="25" spans="2:7" s="65" customFormat="1" ht="14.25">
      <c r="B25" s="67" t="s">
        <v>65</v>
      </c>
      <c r="C25" s="62"/>
      <c r="D25" s="62"/>
      <c r="E25" s="62"/>
      <c r="F25" s="62"/>
      <c r="G25" s="64"/>
    </row>
    <row r="26" spans="2:7" ht="12.75">
      <c r="B26" s="51"/>
      <c r="C26" s="51"/>
      <c r="D26" s="51"/>
      <c r="E26" s="51"/>
      <c r="F26" s="51"/>
      <c r="G26" s="63"/>
    </row>
    <row r="27" spans="2:7" ht="18">
      <c r="B27" s="55" t="s">
        <v>66</v>
      </c>
      <c r="C27" s="56"/>
      <c r="D27" s="57"/>
      <c r="E27" s="56"/>
      <c r="F27" s="57"/>
      <c r="G27" s="56"/>
    </row>
    <row r="28" spans="2:7" ht="15">
      <c r="B28" s="58" t="s">
        <v>67</v>
      </c>
      <c r="C28" s="22"/>
      <c r="D28" s="23"/>
      <c r="E28" s="240">
        <v>0.0175</v>
      </c>
      <c r="F28" s="25" t="s">
        <v>68</v>
      </c>
      <c r="G28" s="22"/>
    </row>
    <row r="29" spans="2:7" ht="15">
      <c r="B29" s="58" t="s">
        <v>69</v>
      </c>
      <c r="C29" s="22"/>
      <c r="D29" s="23"/>
      <c r="E29" s="240">
        <v>0.0175</v>
      </c>
      <c r="F29" s="25" t="s">
        <v>68</v>
      </c>
      <c r="G29" s="22"/>
    </row>
    <row r="30" spans="2:8" ht="15.75" thickBot="1">
      <c r="B30" s="58" t="s">
        <v>96</v>
      </c>
      <c r="C30" s="22"/>
      <c r="D30" s="23"/>
      <c r="E30" s="240">
        <v>0.0035</v>
      </c>
      <c r="F30" s="25" t="s">
        <v>68</v>
      </c>
      <c r="G30" s="22"/>
      <c r="H30" s="298"/>
    </row>
    <row r="31" spans="2:7" ht="15.75" thickBot="1">
      <c r="B31" s="31" t="s">
        <v>52</v>
      </c>
      <c r="C31" s="26"/>
      <c r="D31" s="23"/>
      <c r="E31" s="418">
        <f>SUM(E28:E30)</f>
        <v>0.038500000000000006</v>
      </c>
      <c r="F31" s="61" t="s">
        <v>68</v>
      </c>
      <c r="G31" s="22"/>
    </row>
    <row r="33" spans="2:6" ht="18">
      <c r="B33" s="55" t="s">
        <v>13</v>
      </c>
      <c r="C33" s="7"/>
      <c r="D33" s="7"/>
      <c r="E33" s="7"/>
      <c r="F33"/>
    </row>
    <row r="34" spans="1:5" ht="25.5">
      <c r="A34"/>
      <c r="B34" s="419" t="s">
        <v>17</v>
      </c>
      <c r="C34" s="420" t="s">
        <v>15</v>
      </c>
      <c r="D34" s="421" t="s">
        <v>14</v>
      </c>
      <c r="E34" s="4" t="s">
        <v>16</v>
      </c>
    </row>
    <row r="35" spans="1:5" ht="25.5">
      <c r="A35"/>
      <c r="B35" s="419" t="s">
        <v>17</v>
      </c>
      <c r="C35" s="420" t="s">
        <v>15</v>
      </c>
      <c r="D35" s="421" t="s">
        <v>14</v>
      </c>
      <c r="E35" s="10" t="s">
        <v>72</v>
      </c>
    </row>
    <row r="36" spans="1:5" ht="12.75">
      <c r="A36"/>
      <c r="B36" s="422" t="s">
        <v>40</v>
      </c>
      <c r="C36" s="423"/>
      <c r="D36" s="424">
        <f>E15+E16</f>
        <v>8.56</v>
      </c>
      <c r="E36" s="10" t="s">
        <v>41</v>
      </c>
    </row>
    <row r="37" spans="1:5" ht="12.75">
      <c r="A37" s="425">
        <v>0.8</v>
      </c>
      <c r="B37" s="422" t="s">
        <v>12</v>
      </c>
      <c r="C37" s="426">
        <f>D36/A37-D36</f>
        <v>2.139999999999999</v>
      </c>
      <c r="D37" s="424">
        <f>D36+C37</f>
        <v>10.7</v>
      </c>
      <c r="E37" s="10" t="s">
        <v>28</v>
      </c>
    </row>
    <row r="38" spans="1:5" ht="12.75">
      <c r="A38" s="425">
        <v>0.1</v>
      </c>
      <c r="B38" s="422" t="s">
        <v>70</v>
      </c>
      <c r="C38" s="426">
        <f>D37*A38</f>
        <v>1.07</v>
      </c>
      <c r="D38" s="424">
        <f>D37+C38</f>
        <v>11.77</v>
      </c>
      <c r="E38" s="10" t="s">
        <v>19</v>
      </c>
    </row>
    <row r="39" spans="1:5" ht="12.75">
      <c r="A39" s="425">
        <v>0.8</v>
      </c>
      <c r="B39" s="422" t="s">
        <v>71</v>
      </c>
      <c r="C39" s="426">
        <f>D38/A39-D38</f>
        <v>2.942499999999999</v>
      </c>
      <c r="D39" s="424">
        <f>D38+C39</f>
        <v>14.712499999999999</v>
      </c>
      <c r="E39" s="10" t="s">
        <v>39</v>
      </c>
    </row>
    <row r="40" spans="1:5" ht="13.5" thickBot="1">
      <c r="A40" s="425">
        <v>0.05</v>
      </c>
      <c r="B40" s="422" t="s">
        <v>105</v>
      </c>
      <c r="C40" s="426">
        <f>D39*A40</f>
        <v>0.735625</v>
      </c>
      <c r="D40" s="424">
        <f>D39+C40</f>
        <v>15.448125</v>
      </c>
      <c r="E40"/>
    </row>
    <row r="41" spans="1:5" ht="13.5" thickBot="1">
      <c r="A41"/>
      <c r="B41" s="422" t="s">
        <v>18</v>
      </c>
      <c r="C41" s="14"/>
      <c r="D41" s="427">
        <f>D40</f>
        <v>15.448125</v>
      </c>
      <c r="E41"/>
    </row>
  </sheetData>
  <sheetProtection/>
  <mergeCells count="2">
    <mergeCell ref="B1:G1"/>
    <mergeCell ref="B2:G2"/>
  </mergeCells>
  <printOptions/>
  <pageMargins left="0.75" right="0.75" top="1" bottom="1" header="0.5" footer="0.5"/>
  <pageSetup fitToHeight="1" fitToWidth="1" horizontalDpi="300" verticalDpi="300" orientation="portrait" scale="94" r:id="rId1"/>
  <headerFooter alignWithMargins="0">
    <oddHeader>&amp;R&amp;12&amp;F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CF&amp;O</dc:creator>
  <cp:keywords/>
  <dc:description/>
  <cp:lastModifiedBy>James Leidel</cp:lastModifiedBy>
  <cp:lastPrinted>2011-03-28T14:24:57Z</cp:lastPrinted>
  <dcterms:created xsi:type="dcterms:W3CDTF">1999-07-21T16:32:27Z</dcterms:created>
  <dcterms:modified xsi:type="dcterms:W3CDTF">2011-07-05T18:53:33Z</dcterms:modified>
  <cp:category/>
  <cp:version/>
  <cp:contentType/>
  <cp:contentStatus/>
</cp:coreProperties>
</file>