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940" windowHeight="8664" tabRatio="885" activeTab="1"/>
  </bookViews>
  <sheets>
    <sheet name="Instructions" sheetId="1" r:id="rId1"/>
    <sheet name="Week 1" sheetId="2" r:id="rId2"/>
    <sheet name="Week 2" sheetId="3" r:id="rId3"/>
    <sheet name="Week 3" sheetId="4" r:id="rId4"/>
    <sheet name="Week 4" sheetId="5" r:id="rId5"/>
    <sheet name="Week 5" sheetId="6" r:id="rId6"/>
    <sheet name="Week 6" sheetId="7" r:id="rId7"/>
    <sheet name="Week 7" sheetId="8" r:id="rId8"/>
    <sheet name="Week 8" sheetId="9" r:id="rId9"/>
    <sheet name="Week 9" sheetId="10" r:id="rId10"/>
    <sheet name="Week 10" sheetId="11" r:id="rId11"/>
    <sheet name="Week 11" sheetId="12" r:id="rId12"/>
    <sheet name="Week 12" sheetId="13" r:id="rId13"/>
    <sheet name="Week 13" sheetId="14" r:id="rId14"/>
    <sheet name="Per Diem Calc Tool" sheetId="15" state="hidden" r:id="rId15"/>
    <sheet name="per diem tables" sheetId="16" state="hidden" r:id="rId16"/>
  </sheets>
  <externalReferences>
    <externalReference r:id="rId19"/>
    <externalReference r:id="rId20"/>
    <externalReference r:id="rId21"/>
    <externalReference r:id="rId22"/>
    <externalReference r:id="rId23"/>
  </externalReferences>
  <definedNames>
    <definedName name="CONTENTS">#REF!</definedName>
    <definedName name="Data" localSheetId="0">'[4]Week 8'!$M$8,'[4]Week 8'!$M$10:$AG$13,'[4]Week 8'!$M$15:$AG$15,'[4]Week 8'!$M$17:$AG$19,'[4]Week 8'!$H$21:$AG$22,'[4]Week 8'!$M$23:$AG$23,'[4]Week 8'!$H$25:$AG$25,'[4]Week 8'!$B$26:$AG$28,'[4]Week 8'!$H$29:$AG$29,'[4]Week 8'!$M$31:$AG$33,'[4]Week 8'!$C$35:$AG$36,'[4]Week 8'!$M$38:$AG$38,'[4]Week 8'!$H$44,'[4]Week 8'!$M$46:$AG$47,'[4]Week 8'!$C$50</definedName>
    <definedName name="Data" localSheetId="14">#REF!,#REF!,#REF!,#REF!,#REF!,#REF!,#REF!,#REF!,#REF!,#REF!,#REF!,#REF!,#REF!,#REF!,#REF!</definedName>
    <definedName name="Data" localSheetId="15">#REF!,#REF!,#REF!,#REF!,#REF!,#REF!,#REF!,#REF!,#REF!,#REF!,#REF!,#REF!,#REF!,#REF!,#REF!</definedName>
    <definedName name="Data">'[2]Week 8'!$M$8,'[2]Week 8'!$M$10:$AG$13,'[2]Week 8'!$M$15:$AG$15,'[2]Week 8'!$M$17:$AG$19,'[2]Week 8'!$H$21:$AG$22,'[2]Week 8'!$M$23:$AG$23,'[2]Week 8'!$H$25:$AG$25,'[2]Week 8'!$B$26:$AG$28,'[2]Week 8'!$H$29:$AG$29,'[2]Week 8'!$M$31:$AG$33,'[2]Week 8'!$C$35:$AG$36,'[2]Week 8'!$M$38:$AG$38,'[2]Week 8'!$H$44,'[2]Week 8'!$M$46:$AG$47,'[2]Week 8'!$C$50</definedName>
    <definedName name="DataEnterable">"L9:AJ10,L16:AF16,L18:AF18,L19:AF19,H21:AF22,L23:AF23,H25:AF25,B26:AF27,H28:AF28,L30:AF32,C34:AF35,L37:AF37,H41:K41,L43:AF44"""</definedName>
    <definedName name="foreign_table" localSheetId="0">'[5]per diem tables'!#REF!</definedName>
    <definedName name="foreign_table" localSheetId="14">'per diem tables'!#REF!</definedName>
    <definedName name="foreign_table">'[3]per diem tables'!#REF!</definedName>
    <definedName name="HIGHLIGHTS" localSheetId="10">#REF!</definedName>
    <definedName name="HIGHLIGHTS" localSheetId="11">#REF!</definedName>
    <definedName name="HIGHLIGHTS" localSheetId="12">#REF!</definedName>
    <definedName name="HIGHLIGHTS" localSheetId="13">#REF!</definedName>
    <definedName name="HIGHLIGHTS" localSheetId="3">#REF!</definedName>
    <definedName name="HIGHLIGHTS" localSheetId="4">#REF!</definedName>
    <definedName name="HIGHLIGHTS" localSheetId="5">#REF!</definedName>
    <definedName name="HIGHLIGHTS" localSheetId="6">#REF!</definedName>
    <definedName name="HIGHLIGHTS" localSheetId="7">#REF!</definedName>
    <definedName name="HIGHLIGHTS" localSheetId="8">#REF!</definedName>
    <definedName name="HIGHLIGHTS" localSheetId="9">#REF!</definedName>
    <definedName name="HIGHLIGHTS">#REF!</definedName>
    <definedName name="HOW_TO_USE_THE_TRAVEL_EXPENSE_SUMMARY_WITH_EXCEL">#REF!</definedName>
    <definedName name="IF_YOU_HAVE_PROBLEMS">#REF!</definedName>
    <definedName name="INDEX">#REF!</definedName>
    <definedName name="INTRODUCTION">#REF!</definedName>
    <definedName name="Per_Diem_Calculator_Tool__Instructions" localSheetId="0">'[5]Instructions'!#REF!</definedName>
    <definedName name="Per_Diem_Calculator_Tool__Instructions" localSheetId="14">#REF!</definedName>
    <definedName name="Per_Diem_Calculator_Tool__Instructions">'[3]Instructions'!#REF!</definedName>
    <definedName name="Per_diem_table" localSheetId="0">'[5]per diem tables'!$B$3:$F$9</definedName>
    <definedName name="Per_diem_table" localSheetId="14">'per diem tables'!$B$3:$F$9</definedName>
    <definedName name="Per_diem_table">'[3]per diem tables'!$B$3:$F$9</definedName>
    <definedName name="_xlnm.Print_Area" localSheetId="1">'Week 1'!$A$1:$AN$68</definedName>
    <definedName name="_xlnm.Print_Area" localSheetId="10">'Week 10'!$A$3:$AK$51</definedName>
    <definedName name="_xlnm.Print_Area" localSheetId="11">'Week 11'!$A$3:$AK$51</definedName>
    <definedName name="_xlnm.Print_Area" localSheetId="12">'Week 12'!$A$3:$AK$51</definedName>
    <definedName name="_xlnm.Print_Area" localSheetId="13">'Week 13'!$A$3:$AK$51</definedName>
    <definedName name="_xlnm.Print_Area" localSheetId="2">'Week 2'!$A$3:$AK$51</definedName>
    <definedName name="_xlnm.Print_Area" localSheetId="3">'Week 3'!$A$3:$AK$51</definedName>
    <definedName name="_xlnm.Print_Area" localSheetId="4">'Week 4'!$A$3:$AK$51</definedName>
    <definedName name="_xlnm.Print_Area" localSheetId="5">'Week 5'!$A$3:$AK$51</definedName>
    <definedName name="_xlnm.Print_Area" localSheetId="6">'Week 6'!$A$3:$AK$51</definedName>
    <definedName name="_xlnm.Print_Area" localSheetId="7">'Week 7'!$A$3:$AK$51</definedName>
    <definedName name="_xlnm.Print_Area" localSheetId="8">'Week 8'!$A$3:$AK$51</definedName>
    <definedName name="_xlnm.Print_Area" localSheetId="9">'Week 9'!$A$3:$AK$51</definedName>
    <definedName name="_xlnm.Print_Titles" localSheetId="0">'Instructions'!$1:$5</definedName>
    <definedName name="_xlnm.Print_Titles" localSheetId="14">'Per Diem Calc Tool'!$4:$10</definedName>
    <definedName name="QUESTIONS__COMMENTS_AND_SUGGESTIONS">#REF!</definedName>
    <definedName name="QUICK_LINK_TO_TRAVEL_EXPENSE_SUMMARY">#REF!</definedName>
    <definedName name="TE_Instructions">'[1]per diem table'!$B$2:$F$8</definedName>
  </definedNames>
  <calcPr fullCalcOnLoad="1"/>
</workbook>
</file>

<file path=xl/sharedStrings.xml><?xml version="1.0" encoding="utf-8"?>
<sst xmlns="http://schemas.openxmlformats.org/spreadsheetml/2006/main" count="850" uniqueCount="214">
  <si>
    <t>Amount</t>
  </si>
  <si>
    <t>Airfare</t>
  </si>
  <si>
    <t>Bus, rail, etc.</t>
  </si>
  <si>
    <t>From</t>
  </si>
  <si>
    <t>To</t>
  </si>
  <si>
    <t>Date</t>
  </si>
  <si>
    <t>Lodging</t>
  </si>
  <si>
    <t>Foreign incidentals, list below</t>
  </si>
  <si>
    <t>Daily reimbursement amount</t>
  </si>
  <si>
    <t>Amount of travel advance, if any:</t>
  </si>
  <si>
    <t>Fund</t>
  </si>
  <si>
    <t>Account</t>
  </si>
  <si>
    <t>Advances</t>
  </si>
  <si>
    <t>OAKLAND UNIVERSITY</t>
  </si>
  <si>
    <t>PT</t>
  </si>
  <si>
    <t>Signature of Traveler</t>
  </si>
  <si>
    <t>Name and e-mail address of document preparer</t>
  </si>
  <si>
    <t>Audited</t>
  </si>
  <si>
    <t>Payment Due Date</t>
  </si>
  <si>
    <t>Vendor Number</t>
  </si>
  <si>
    <t>Date(s) of Travel</t>
  </si>
  <si>
    <t>Address</t>
  </si>
  <si>
    <t>N005</t>
  </si>
  <si>
    <t>N010</t>
  </si>
  <si>
    <t>N011</t>
  </si>
  <si>
    <t>N012</t>
  </si>
  <si>
    <t>N013</t>
  </si>
  <si>
    <t>N015</t>
  </si>
  <si>
    <t>Grand Total</t>
  </si>
  <si>
    <t>Page Total</t>
  </si>
  <si>
    <t>To/From</t>
  </si>
  <si>
    <t>Transportation:</t>
  </si>
  <si>
    <t xml:space="preserve">  Page 1 of</t>
  </si>
  <si>
    <t xml:space="preserve">  Page 2 of</t>
  </si>
  <si>
    <t xml:space="preserve">  Page 3 of</t>
  </si>
  <si>
    <t xml:space="preserve">  Page 4 of</t>
  </si>
  <si>
    <t>Registration</t>
  </si>
  <si>
    <t>Department</t>
  </si>
  <si>
    <t>All expenses associated with this trip must be included on this form.</t>
  </si>
  <si>
    <r>
      <t xml:space="preserve">OU Fund Signatory </t>
    </r>
    <r>
      <rPr>
        <sz val="9"/>
        <rFont val="Arial"/>
        <family val="2"/>
      </rPr>
      <t>- required if different than traveler's supervisor</t>
    </r>
  </si>
  <si>
    <t>QUESTIONS, COMMENTS AND SUGGESTIONS</t>
  </si>
  <si>
    <t>Personal Transportation</t>
  </si>
  <si>
    <t>Commercial Carriers</t>
  </si>
  <si>
    <t>Miscellaneous</t>
  </si>
  <si>
    <t>Expense Allocation</t>
  </si>
  <si>
    <t>If you have questions about the Oakland University Travel Reimbursement Policy:</t>
  </si>
  <si>
    <t>Rate</t>
  </si>
  <si>
    <t>Miles</t>
  </si>
  <si>
    <t>Date(s)</t>
  </si>
  <si>
    <t xml:space="preserve">  Page 7 of</t>
  </si>
  <si>
    <t xml:space="preserve">  Page 6 of</t>
  </si>
  <si>
    <t xml:space="preserve">  Page 5 of</t>
  </si>
  <si>
    <t xml:space="preserve">  Page 8 of</t>
  </si>
  <si>
    <t>Amount due to/(from) traveler:</t>
  </si>
  <si>
    <t>$</t>
  </si>
  <si>
    <t xml:space="preserve">Signature of Traveler's Supervisor </t>
  </si>
  <si>
    <t>Type/Seq</t>
  </si>
  <si>
    <t>Purchase Card</t>
  </si>
  <si>
    <t>For future use</t>
  </si>
  <si>
    <t xml:space="preserve">For future use </t>
  </si>
  <si>
    <t>Day 1</t>
  </si>
  <si>
    <t>Day 2</t>
  </si>
  <si>
    <t>Day 3</t>
  </si>
  <si>
    <t>Day 4</t>
  </si>
  <si>
    <t>Day 5</t>
  </si>
  <si>
    <t>Day 6</t>
  </si>
  <si>
    <t>Day 7</t>
  </si>
  <si>
    <t>Standard maximums</t>
  </si>
  <si>
    <t xml:space="preserve">I HEREBY CERTIFY THAT THIS CLAIM IS CORRECT AND REIMBURSABLE UNDER PUBLISHED TRAVEL EXPENSE  AND GOVERNANCE REGULATIONS OF OAKLAND UNIVERSITY. </t>
  </si>
  <si>
    <t>Key Cities</t>
  </si>
  <si>
    <t xml:space="preserve"> Pay To</t>
  </si>
  <si>
    <t/>
  </si>
  <si>
    <t xml:space="preserve"> If not Foreign, numbers are not included.</t>
  </si>
  <si>
    <t>Per Diem Calculator Tool - Domestic Travel</t>
  </si>
  <si>
    <t>Traveler Name:</t>
  </si>
  <si>
    <t>Departure:</t>
  </si>
  <si>
    <t>Time</t>
  </si>
  <si>
    <t>Destination:</t>
  </si>
  <si>
    <t>Return:</t>
  </si>
  <si>
    <t>Travel Days</t>
  </si>
  <si>
    <t>Per Diem Rate:</t>
  </si>
  <si>
    <t>Click the link below to determine the travel meal/incidentals per diem rate for the destination city (or the destination county if city is not listed.)  Then select the rate from the Per Diem Rate drop down box above. The M&amp;IE (meals and incidental expenses) total will automatically fill in for each day of travel.</t>
  </si>
  <si>
    <t>http://www.gsa.gov/portal/category/21287</t>
  </si>
  <si>
    <t>M&amp;IE Total</t>
  </si>
  <si>
    <t>Total</t>
  </si>
  <si>
    <t>Itemized Per Diem Meals and Incidental Expenses (M&amp;IE)</t>
  </si>
  <si>
    <t>Breakfast</t>
  </si>
  <si>
    <t>Lunch</t>
  </si>
  <si>
    <t>Dinner</t>
  </si>
  <si>
    <t>Trip Day</t>
  </si>
  <si>
    <t>Trip End Day</t>
  </si>
  <si>
    <t>Last Day</t>
  </si>
  <si>
    <t>Diner</t>
  </si>
  <si>
    <t>Domestic Meals and Incidental Expenses (M&amp;IE) Breakdown for Federal FY10</t>
  </si>
  <si>
    <t>Lookup</t>
  </si>
  <si>
    <t>Incidentals</t>
  </si>
  <si>
    <t>Parking</t>
  </si>
  <si>
    <t>Hosting</t>
  </si>
  <si>
    <t>Shuttle, taxi</t>
  </si>
  <si>
    <t>YES</t>
  </si>
  <si>
    <t>Tolls</t>
  </si>
  <si>
    <t>Other Expenses, list below:</t>
  </si>
  <si>
    <t xml:space="preserve">  Page 10 of</t>
  </si>
  <si>
    <t xml:space="preserve">  Page 9 of</t>
  </si>
  <si>
    <t xml:space="preserve">  Page 11 of</t>
  </si>
  <si>
    <t xml:space="preserve">  Page 12 of</t>
  </si>
  <si>
    <t>Traveler</t>
  </si>
  <si>
    <t>Purpose of Travel (Destination, event, etc.)</t>
  </si>
  <si>
    <t>/mile</t>
  </si>
  <si>
    <t>PV</t>
  </si>
  <si>
    <t>Mileage Reimbursement Total</t>
  </si>
  <si>
    <r>
      <rPr>
        <b/>
        <sz val="10"/>
        <rFont val="Arial"/>
        <family val="2"/>
      </rPr>
      <t xml:space="preserve">Notes </t>
    </r>
    <r>
      <rPr>
        <sz val="10"/>
        <rFont val="Arial"/>
        <family val="2"/>
      </rPr>
      <t>/</t>
    </r>
    <r>
      <rPr>
        <b/>
        <sz val="10"/>
        <rFont val="Arial"/>
        <family val="2"/>
      </rPr>
      <t xml:space="preserve"> Additional Details</t>
    </r>
  </si>
  <si>
    <t>Meals and Incidentals</t>
  </si>
  <si>
    <t>Fuel - Rental/University</t>
  </si>
  <si>
    <t>Mileage - Standard rate</t>
  </si>
  <si>
    <t>Total Expenses</t>
  </si>
  <si>
    <t>Total Reimburseable Expenses</t>
  </si>
  <si>
    <t>Day of the Week</t>
  </si>
  <si>
    <t>Prepaid Amounts</t>
  </si>
  <si>
    <t xml:space="preserve">  </t>
  </si>
  <si>
    <t xml:space="preserve">    • The traveler's name</t>
  </si>
  <si>
    <t xml:space="preserve">    • The traveler's address where the check should be delivered</t>
  </si>
  <si>
    <t xml:space="preserve">    • The traveler's vendor number  (i.e., "G" number)</t>
  </si>
  <si>
    <t xml:space="preserve">          - Meals charged to your room should be deducted from lodging expense as they are included in per diem rate; if  </t>
  </si>
  <si>
    <t>Oakland University Administrative Policy &amp; Procedure #1200-Travel</t>
  </si>
  <si>
    <t xml:space="preserve">    • Enter the dates in the format "mm/dd/yy"</t>
  </si>
  <si>
    <t xml:space="preserve">    • The purpose of the travel - include the event, dates and locations of business travel</t>
  </si>
  <si>
    <r>
      <rPr>
        <b/>
        <sz val="10"/>
        <rFont val="Arial"/>
        <family val="2"/>
      </rPr>
      <t xml:space="preserve">Place an "X" in the cell(s) to exclude provided meal(s) from the meal and incidental expenses total </t>
    </r>
    <r>
      <rPr>
        <sz val="10"/>
        <rFont val="Arial"/>
        <family val="2"/>
      </rPr>
      <t xml:space="preserve">and the reductions will automatically be calculated by the tool.  For example, if a conference meal or hosted meal is claimed by the traveler, place an "X" in the appropriate cell to reduce the per diem reimbursement. </t>
    </r>
    <r>
      <rPr>
        <i/>
        <sz val="10"/>
        <rFont val="Arial"/>
        <family val="2"/>
      </rPr>
      <t xml:space="preserve">(Allotted breakfast, lunch, and dinner meal values by per diem rate may be viewed on the GSA Website. See above link.) </t>
    </r>
    <r>
      <rPr>
        <sz val="10"/>
        <rFont val="Arial"/>
        <family val="2"/>
      </rPr>
      <t xml:space="preserve">
Note: The per diem rate for the first day and last day of travel is 75% of the total daily per diem rate for the travel city.  This will automatically calculate in the chart.</t>
    </r>
  </si>
  <si>
    <t>2.  Input the required information in the first nine rows:</t>
  </si>
  <si>
    <t>Baggage Fees</t>
  </si>
  <si>
    <t>Exchange Rate</t>
  </si>
  <si>
    <t>Total Meals and Incidentals</t>
  </si>
  <si>
    <t>Total Expenses US Dollar</t>
  </si>
  <si>
    <t>FOREIGN TRAVEL EXPENSE SUMMARY</t>
  </si>
  <si>
    <t xml:space="preserve">  Page 13 of</t>
  </si>
  <si>
    <t xml:space="preserve">    • When the range is entered all dates will auto-fill in the cells</t>
  </si>
  <si>
    <t xml:space="preserve">    • Both dates may be changed at any time;  Excel will update the entire spreadsheet accordingly</t>
  </si>
  <si>
    <t xml:space="preserve">                          For foreign countries, use the US Department of State website:</t>
  </si>
  <si>
    <r>
      <t xml:space="preserve">                                       </t>
    </r>
    <r>
      <rPr>
        <u val="single"/>
        <sz val="11"/>
        <color indexed="12"/>
        <rFont val="Arial"/>
        <family val="2"/>
      </rPr>
      <t>http://aoprals.state.gov/web920/per_diem.asp</t>
    </r>
  </si>
  <si>
    <t xml:space="preserve">                          For US territories, Alaska, and Hawaii, use the US Department of Defense website:</t>
  </si>
  <si>
    <r>
      <t xml:space="preserve">                                       </t>
    </r>
    <r>
      <rPr>
        <u val="single"/>
        <sz val="11"/>
        <color indexed="12"/>
        <rFont val="Arial"/>
        <family val="2"/>
      </rPr>
      <t>http://www.defensetravel.dod.mil/site/perdiemCalc.cfm</t>
    </r>
  </si>
  <si>
    <t xml:space="preserve">           -To calculate the per diem for US territories, Alaska and Hawaii, click the button to exclude military installations and </t>
  </si>
  <si>
    <t xml:space="preserve">             then add together the Local Meals and the Local Incidentals to obtain the full per diem amount</t>
  </si>
  <si>
    <t xml:space="preserve">                          For foreign countries, determine amounts with the following link:</t>
  </si>
  <si>
    <t xml:space="preserve">                                       http://aoprals.state.gov/content.asp?content_id=114&amp;menu_id=78</t>
  </si>
  <si>
    <t xml:space="preserve">                          For US territories, Alaska, and Hawaii, use the following percentages on the meal per diem amount only:</t>
  </si>
  <si>
    <t xml:space="preserve">    • If more space is needed for comments, please use the "Additional Comments" box at the bottom of the summary.</t>
  </si>
  <si>
    <t xml:space="preserve">  splitting the expense between two or more funds and/or accounts.</t>
  </si>
  <si>
    <t xml:space="preserve">          - This spreadsheet can accommodate three months (91 Days); create an additional TES for any extra time.</t>
  </si>
  <si>
    <t xml:space="preserve">Starting Effective Date   </t>
  </si>
  <si>
    <t>Maximum Rate/mile</t>
  </si>
  <si>
    <t xml:space="preserve">   Other Expenses</t>
  </si>
  <si>
    <t xml:space="preserve">      • Lodging - The University only reimburses for single rate lodging, unless you are sharing a room with another employee.</t>
  </si>
  <si>
    <t xml:space="preserve">    • The traveler's "pay to" (PT) address sequence;  this can be found using the FTMVEND screen in Banner</t>
  </si>
  <si>
    <t xml:space="preserve">          - Indicate the method of payment in adjacent dropdown menu (PV, P-Card, or Self) for conference registration fees;  </t>
  </si>
  <si>
    <t xml:space="preserve">          - Input the description of any miscellaneous travel expenses in the additional notes section;  input amounts paid each day </t>
  </si>
  <si>
    <r>
      <t xml:space="preserve">      </t>
    </r>
    <r>
      <rPr>
        <sz val="11"/>
        <rFont val="Arial"/>
        <family val="2"/>
      </rPr>
      <t>• Conference Registration</t>
    </r>
  </si>
  <si>
    <t xml:space="preserve">      • Miscellaneous</t>
  </si>
  <si>
    <t xml:space="preserve">  Note: Original receipts must be attached for expenses greater than $25.  Attach copies of related documents such as PVs, P-Card statements, etc.</t>
  </si>
  <si>
    <t>INSTRUCTIONS</t>
  </si>
  <si>
    <t xml:space="preserve">            input amounts on the first date of the event</t>
  </si>
  <si>
    <t xml:space="preserve">       • Indicate payment method in adjacent dropdown menu (P-Card, PV, or Self) for tolls, and then enter tolls expense</t>
  </si>
  <si>
    <t xml:space="preserve">       • Indicate payment method in adjacent dropdown menu (P-Card, PV, or Self) for parking, and then enter parking expense</t>
  </si>
  <si>
    <t xml:space="preserve">       • Mileage </t>
  </si>
  <si>
    <r>
      <t xml:space="preserve">          - Rate is </t>
    </r>
    <r>
      <rPr>
        <u val="single"/>
        <sz val="11"/>
        <color indexed="12"/>
        <rFont val="Arial"/>
        <family val="2"/>
      </rPr>
      <t>determined by the IRS</t>
    </r>
    <r>
      <rPr>
        <sz val="11"/>
        <rFont val="Arial"/>
        <family val="2"/>
      </rPr>
      <t xml:space="preserve"> and will populate automatically in the TES based on dates entered.</t>
    </r>
  </si>
  <si>
    <r>
      <t xml:space="preserve">          - Input the number of miles traveled </t>
    </r>
    <r>
      <rPr>
        <b/>
        <i/>
        <sz val="11"/>
        <rFont val="Arial"/>
        <family val="2"/>
      </rPr>
      <t>within the US</t>
    </r>
    <r>
      <rPr>
        <sz val="11"/>
        <rFont val="Arial"/>
        <family val="2"/>
      </rPr>
      <t xml:space="preserve"> via personal vehicle (t</t>
    </r>
    <r>
      <rPr>
        <i/>
        <sz val="11"/>
        <rFont val="Arial"/>
        <family val="2"/>
      </rPr>
      <t>he Reimbursement Amount will auto-populate</t>
    </r>
  </si>
  <si>
    <t xml:space="preserve">         for each day</t>
  </si>
  <si>
    <t xml:space="preserve">   Personal Transportation</t>
  </si>
  <si>
    <t xml:space="preserve">        OU AP&amp;P #1200 for personal vehicle mileage reimbursement</t>
  </si>
  <si>
    <t xml:space="preserve">      • Fuel - Only reimbursable for travel in rental vehicles and University vehicles; please refer to the mileage section of</t>
  </si>
  <si>
    <t xml:space="preserve">         - Indicate payment method in adjacent dropdown menu (P-Card, PV, or Self) for fuel, and then enter fuel expense for </t>
  </si>
  <si>
    <t xml:space="preserve">           each day</t>
  </si>
  <si>
    <t xml:space="preserve">            for miscellaneous travel expenses</t>
  </si>
  <si>
    <t xml:space="preserve">       • Indicate the method of payment (PV, P-Card, Self) for airfare, baggage fees, bus, rail, shuttle, taxi, etc;  input amounts </t>
  </si>
  <si>
    <t xml:space="preserve">         on the departure date indicated on the tickets</t>
  </si>
  <si>
    <t xml:space="preserve">          - Rental vehicles rented abroad should be entered in this section; please note that rental vehicles will only be reimbursed up to the </t>
  </si>
  <si>
    <t xml:space="preserve">            lowest mid-size rate and when it made economical sense to rent versus bus, rail, taxi, etc.</t>
  </si>
  <si>
    <t xml:space="preserve">      • Exchange - Input the exchange rate for the country you are in (foreign currency to US dollar); please be sure enter the</t>
  </si>
  <si>
    <t xml:space="preserve">        proper exchange rate for each day of travel</t>
  </si>
  <si>
    <t xml:space="preserve">           - If a meal is provided at a conference or by a host, you must deduct those meals from per diem:</t>
  </si>
  <si>
    <t xml:space="preserve">                                     - 17% for Breakfast </t>
  </si>
  <si>
    <t xml:space="preserve">                                     - 27% for Lunch</t>
  </si>
  <si>
    <t xml:space="preserve">                                     - 56% for Dinner</t>
  </si>
  <si>
    <t xml:space="preserve">           - Please provide supporting documentation for the Per Diem Rate (i.e., screen shot) and attach to TES when submitted</t>
  </si>
  <si>
    <t xml:space="preserve">       • Daily Reimbursement Amount - Input rate in US dollars for that country or state, which can be found on the websites below</t>
  </si>
  <si>
    <r>
      <t xml:space="preserve">             </t>
    </r>
    <r>
      <rPr>
        <b/>
        <i/>
        <sz val="11"/>
        <color indexed="8"/>
        <rFont val="Arial"/>
        <family val="2"/>
      </rPr>
      <t xml:space="preserve">  </t>
    </r>
    <r>
      <rPr>
        <b/>
        <i/>
        <sz val="11"/>
        <color indexed="10"/>
        <rFont val="Arial"/>
        <family val="2"/>
      </rPr>
      <t xml:space="preserve">IMPORTANT: </t>
    </r>
    <r>
      <rPr>
        <i/>
        <sz val="11"/>
        <color indexed="8"/>
        <rFont val="Arial"/>
        <family val="2"/>
      </rPr>
      <t xml:space="preserve">If you are using a per diem where you must add the Local Meals and Local Incidentals to determine </t>
    </r>
  </si>
  <si>
    <t xml:space="preserve">                the full per diem, only apply these percentages to the Local Meals amount</t>
  </si>
  <si>
    <t xml:space="preserve">         Notes/Additional Details section</t>
  </si>
  <si>
    <t>3. Input Expenses</t>
  </si>
  <si>
    <t>1.  Begin by selecting the "Week 1" tab</t>
  </si>
  <si>
    <t xml:space="preserve">      • Hosting - Hosting meals will be excluded from the per diem calculation and are not subject to Meal and Incidental rates;</t>
  </si>
  <si>
    <t xml:space="preserve">        please refer to OU AP&amp;P #208 for reimbursement requirements</t>
  </si>
  <si>
    <t xml:space="preserve">          - Indicate the method of payment of "Self" (since P-Card is not allowable) in adjacent dropdown menu for meals in which you hosted;  </t>
  </si>
  <si>
    <t xml:space="preserve">            refer to the "Deductions" subsection of the Meals &amp; Incidentals section below to deduct any meals you hosted from your per diem</t>
  </si>
  <si>
    <r>
      <rPr>
        <sz val="11"/>
        <rFont val="Arial"/>
        <family val="2"/>
      </rPr>
      <t xml:space="preserve">If you have questions about how to itemize your expenses, contact Accounts Payable. The Staff Directory is located on the </t>
    </r>
    <r>
      <rPr>
        <u val="single"/>
        <sz val="11"/>
        <color indexed="12"/>
        <rFont val="Arial"/>
        <family val="2"/>
      </rPr>
      <t>Accounts Payable website</t>
    </r>
    <r>
      <rPr>
        <sz val="11"/>
        <rFont val="Arial"/>
        <family val="2"/>
      </rPr>
      <t>.</t>
    </r>
  </si>
  <si>
    <r>
      <t xml:space="preserve">To report any problems or errors within this spreadsheet or to provide improvement suggestions, please send an e-mail to </t>
    </r>
    <r>
      <rPr>
        <u val="single"/>
        <sz val="11"/>
        <color indexed="12"/>
        <rFont val="Arial"/>
        <family val="2"/>
      </rPr>
      <t>payables@oakland.edu</t>
    </r>
    <r>
      <rPr>
        <sz val="11"/>
        <rFont val="Arial"/>
        <family val="2"/>
      </rPr>
      <t>.</t>
    </r>
  </si>
  <si>
    <r>
      <t xml:space="preserve">5. Amount of travel advances, if any </t>
    </r>
    <r>
      <rPr>
        <sz val="11"/>
        <color indexed="8"/>
        <rFont val="Arial"/>
        <family val="2"/>
      </rPr>
      <t>should be recorded at the bottom of the summary in the "Prepaid" and "Advance"</t>
    </r>
  </si>
  <si>
    <t>6. Notes/Additional Details</t>
  </si>
  <si>
    <r>
      <rPr>
        <b/>
        <sz val="11"/>
        <color indexed="10"/>
        <rFont val="Arial"/>
        <family val="2"/>
      </rPr>
      <t>IMPORTANT:</t>
    </r>
    <r>
      <rPr>
        <b/>
        <sz val="11"/>
        <rFont val="Arial"/>
        <family val="2"/>
      </rPr>
      <t xml:space="preserve">  If you are using a downloaded copy, use "Save As" so you can save it in the desired folder with an appropriate name instead of a temporary folder with a random name selected by your browser.  Otherwise you may have difficulty finding the spreadsheet at a later time.</t>
    </r>
  </si>
  <si>
    <t>HOW TO COMPLETE THE FOREIGN TRAVEL EXPENSE SUMMARY</t>
  </si>
  <si>
    <r>
      <t xml:space="preserve">      based on these two entries); </t>
    </r>
    <r>
      <rPr>
        <sz val="11"/>
        <rFont val="Arial"/>
        <family val="2"/>
      </rPr>
      <t>foreign mileage is not a reimbursable expense</t>
    </r>
  </si>
  <si>
    <t xml:space="preserve">            lodging was paid for via P-Card and a meal was inadvertently included, it must be deducted from your reimbursement</t>
  </si>
  <si>
    <r>
      <t>7. Complete the Expense Allocation section</t>
    </r>
    <r>
      <rPr>
        <sz val="11"/>
        <color indexed="8"/>
        <rFont val="Arial"/>
        <family val="2"/>
      </rPr>
      <t>.  Add the fund number(s) and account number(s).  Only input the amount if</t>
    </r>
  </si>
  <si>
    <r>
      <t>8.  Sign and date a single printed copy.  Attach all required documentation</t>
    </r>
    <r>
      <rPr>
        <sz val="11"/>
        <color indexed="8"/>
        <rFont val="Arial"/>
        <family val="2"/>
      </rPr>
      <t xml:space="preserve"> and pass it on for required signatures.   </t>
    </r>
    <r>
      <rPr>
        <i/>
        <sz val="11"/>
        <rFont val="Arial"/>
        <family val="2"/>
      </rPr>
      <t>If you want to receive a copy of the summary after all signatures are obtained, request it at your supervisor level.</t>
    </r>
  </si>
  <si>
    <t xml:space="preserve">   Any backup, a copy of PV, a copy of P-Card statement, and other supporting doumentation, should be attached to the</t>
  </si>
  <si>
    <t xml:space="preserve">   summary when submitted.</t>
  </si>
  <si>
    <t>Deductions, if any:</t>
  </si>
  <si>
    <r>
      <t xml:space="preserve">4. Deductions, if any </t>
    </r>
    <r>
      <rPr>
        <sz val="11"/>
        <color indexed="8"/>
        <rFont val="Arial"/>
        <family val="2"/>
      </rPr>
      <t>should contain any deductions to this reimbursement</t>
    </r>
    <r>
      <rPr>
        <b/>
        <sz val="11"/>
        <color indexed="8"/>
        <rFont val="Arial"/>
        <family val="2"/>
      </rPr>
      <t xml:space="preserve"> </t>
    </r>
    <r>
      <rPr>
        <sz val="11"/>
        <color indexed="8"/>
        <rFont val="Arial"/>
        <family val="2"/>
      </rPr>
      <t>if required by budget, contract, or policy; explanation of reason</t>
    </r>
    <r>
      <rPr>
        <b/>
        <sz val="11"/>
        <color indexed="8"/>
        <rFont val="Arial"/>
        <family val="2"/>
      </rPr>
      <t xml:space="preserve"> </t>
    </r>
  </si>
  <si>
    <t xml:space="preserve">  for the dedcution must be attached to TES (enter as a positive amount)</t>
  </si>
  <si>
    <t>M &amp; IE Deductions</t>
  </si>
  <si>
    <t>M&amp; IE Deductions</t>
  </si>
  <si>
    <t xml:space="preserve">       • M&amp; IE Deductions - Input deductions for meals provided at a conference or due to hosting; include explanation for deductions in the</t>
  </si>
  <si>
    <t xml:space="preserve">    Meals &amp; Incidentals ("M &amp; IE")</t>
  </si>
  <si>
    <t>Origin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</si>
</sst>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000_);_(* \(#,##0.000\);_(* &quot;-&quot;??_);_(@_)"/>
    <numFmt numFmtId="166" formatCode="_(* #,##0_);_(* \(#,##0\);_(* &quot;-&quot;??_);_(@_)"/>
    <numFmt numFmtId="167" formatCode="0#"/>
    <numFmt numFmtId="168" formatCode="&quot;&quot;;&quot;&quot;"/>
    <numFmt numFmtId="169" formatCode=";;;"/>
    <numFmt numFmtId="170" formatCode="0.00_);\(0.00\)"/>
    <numFmt numFmtId="171" formatCode="[$-409]mmmm\ d\,\ yyyy;@"/>
    <numFmt numFmtId="172" formatCode="dddd"/>
    <numFmt numFmtId="173" formatCode="&quot;$&quot;#,##0.00"/>
    <numFmt numFmtId="174" formatCode="m/d/yy;@"/>
    <numFmt numFmtId="175" formatCode="0;\-0;;@"/>
    <numFmt numFmtId="176" formatCode="0.000_);\(0.000\)"/>
    <numFmt numFmtId="177" formatCode="&quot;$&quot;#,##0.000_);\(&quot;$&quot;#,##0.000\)"/>
    <numFmt numFmtId="178" formatCode="0.000"/>
    <numFmt numFmtId="179" formatCode="#,##0.00_ ;\(#,##0.00\);_-* &quot;-&quot;??_-"/>
    <numFmt numFmtId="180" formatCode="0.0"/>
  </numFmts>
  <fonts count="91">
    <font>
      <sz val="11"/>
      <name val="Arial"/>
      <family val="2"/>
    </font>
    <font>
      <sz val="11"/>
      <color indexed="8"/>
      <name val="Calibri"/>
      <family val="2"/>
    </font>
    <font>
      <sz val="12"/>
      <name val="Arial"/>
      <family val="2"/>
    </font>
    <font>
      <sz val="10"/>
      <name val="Arial"/>
      <family val="2"/>
    </font>
    <font>
      <sz val="8"/>
      <name val="Arial"/>
      <family val="2"/>
    </font>
    <font>
      <sz val="6"/>
      <name val="Arial"/>
      <family val="2"/>
    </font>
    <font>
      <sz val="9"/>
      <name val="Arial"/>
      <family val="2"/>
    </font>
    <font>
      <u val="single"/>
      <sz val="10"/>
      <color indexed="12"/>
      <name val="Arial"/>
      <family val="2"/>
    </font>
    <font>
      <b/>
      <sz val="10"/>
      <name val="Arial"/>
      <family val="2"/>
    </font>
    <font>
      <b/>
      <sz val="14"/>
      <name val="Arial"/>
      <family val="2"/>
    </font>
    <font>
      <sz val="14"/>
      <name val="Arial"/>
      <family val="2"/>
    </font>
    <font>
      <b/>
      <sz val="11"/>
      <name val="Arial"/>
      <family val="2"/>
    </font>
    <font>
      <u val="single"/>
      <sz val="11"/>
      <color indexed="12"/>
      <name val="Arial"/>
      <family val="2"/>
    </font>
    <font>
      <i/>
      <sz val="11"/>
      <name val="Arial"/>
      <family val="2"/>
    </font>
    <font>
      <b/>
      <sz val="11"/>
      <color indexed="60"/>
      <name val="Arial"/>
      <family val="2"/>
    </font>
    <font>
      <sz val="10"/>
      <color indexed="10"/>
      <name val="Arial"/>
      <family val="2"/>
    </font>
    <font>
      <i/>
      <sz val="7"/>
      <name val="Arial"/>
      <family val="2"/>
    </font>
    <font>
      <sz val="10"/>
      <color indexed="16"/>
      <name val="Arial"/>
      <family val="2"/>
    </font>
    <font>
      <i/>
      <sz val="10"/>
      <name val="Arial"/>
      <family val="2"/>
    </font>
    <font>
      <b/>
      <sz val="12"/>
      <name val="Arial"/>
      <family val="2"/>
    </font>
    <font>
      <sz val="11"/>
      <color indexed="12"/>
      <name val="Arial"/>
      <family val="2"/>
    </font>
    <font>
      <i/>
      <sz val="11"/>
      <color indexed="8"/>
      <name val="Arial"/>
      <family val="2"/>
    </font>
    <font>
      <b/>
      <i/>
      <sz val="11"/>
      <color indexed="8"/>
      <name val="Arial"/>
      <family val="2"/>
    </font>
    <font>
      <b/>
      <sz val="11"/>
      <color indexed="8"/>
      <name val="Arial"/>
      <family val="2"/>
    </font>
    <font>
      <sz val="11"/>
      <color indexed="8"/>
      <name val="Arial"/>
      <family val="2"/>
    </font>
    <font>
      <u val="single"/>
      <sz val="11"/>
      <name val="Arial"/>
      <family val="2"/>
    </font>
    <font>
      <b/>
      <sz val="11"/>
      <color indexed="12"/>
      <name val="Arial"/>
      <family val="2"/>
    </font>
    <font>
      <b/>
      <sz val="11"/>
      <color indexed="10"/>
      <name val="Arial"/>
      <family val="2"/>
    </font>
    <font>
      <b/>
      <i/>
      <sz val="11"/>
      <name val="Arial"/>
      <family val="2"/>
    </font>
    <font>
      <b/>
      <i/>
      <sz val="11"/>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u val="single"/>
      <sz val="8.8"/>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30"/>
      <name val="Arial"/>
      <family val="2"/>
    </font>
    <font>
      <b/>
      <sz val="10"/>
      <color indexed="62"/>
      <name val="Arial"/>
      <family val="2"/>
    </font>
    <font>
      <sz val="10"/>
      <color indexed="62"/>
      <name val="Arial"/>
      <family val="2"/>
    </font>
    <font>
      <b/>
      <sz val="10"/>
      <color indexed="19"/>
      <name val="Arial"/>
      <family val="2"/>
    </font>
    <font>
      <sz val="12"/>
      <color indexed="8"/>
      <name val="Arial"/>
      <family val="2"/>
    </font>
    <font>
      <b/>
      <sz val="20"/>
      <color indexed="19"/>
      <name val="Arial"/>
      <family val="2"/>
    </font>
    <font>
      <sz val="20"/>
      <color indexed="19"/>
      <name val="Arial"/>
      <family val="2"/>
    </font>
    <font>
      <sz val="10"/>
      <color indexed="19"/>
      <name val="Arial"/>
      <family val="2"/>
    </font>
    <font>
      <sz val="8"/>
      <name val="Segoe UI"/>
      <family val="2"/>
    </font>
    <font>
      <sz val="18"/>
      <color indexed="8"/>
      <name val="CG 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70C0"/>
      <name val="Arial"/>
      <family val="2"/>
    </font>
    <font>
      <b/>
      <sz val="10"/>
      <color theme="3"/>
      <name val="Arial"/>
      <family val="2"/>
    </font>
    <font>
      <sz val="10"/>
      <color theme="3"/>
      <name val="Arial"/>
      <family val="2"/>
    </font>
    <font>
      <b/>
      <sz val="10"/>
      <color rgb="FF977D11"/>
      <name val="Arial"/>
      <family val="2"/>
    </font>
    <font>
      <sz val="12"/>
      <color theme="1"/>
      <name val="Arial"/>
      <family val="2"/>
    </font>
    <font>
      <sz val="11"/>
      <color theme="1"/>
      <name val="Arial"/>
      <family val="2"/>
    </font>
    <font>
      <b/>
      <sz val="11"/>
      <color theme="1"/>
      <name val="Arial"/>
      <family val="2"/>
    </font>
    <font>
      <i/>
      <sz val="11"/>
      <color theme="1"/>
      <name val="Arial"/>
      <family val="2"/>
    </font>
    <font>
      <sz val="11"/>
      <color theme="10"/>
      <name val="Arial"/>
      <family val="2"/>
    </font>
    <font>
      <b/>
      <sz val="11"/>
      <color rgb="FFFF0000"/>
      <name val="Arial"/>
      <family val="2"/>
    </font>
    <font>
      <b/>
      <sz val="20"/>
      <color rgb="FF8A7310"/>
      <name val="Arial"/>
      <family val="2"/>
    </font>
    <font>
      <sz val="20"/>
      <color rgb="FF8A7310"/>
      <name val="Arial"/>
      <family val="2"/>
    </font>
    <font>
      <sz val="10"/>
      <color rgb="FF8A731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9" tint="0.5999600291252136"/>
        <bgColor indexed="64"/>
      </patternFill>
    </fill>
    <fill>
      <patternFill patternType="solid">
        <fgColor indexed="43"/>
        <bgColor indexed="64"/>
      </patternFill>
    </fill>
    <fill>
      <patternFill patternType="solid">
        <fgColor theme="0" tint="-0.24997000396251678"/>
        <bgColor indexed="64"/>
      </patternFill>
    </fill>
    <fill>
      <patternFill patternType="solid">
        <fgColor rgb="FF977D11"/>
        <bgColor indexed="64"/>
      </patternFill>
    </fill>
    <fill>
      <patternFill patternType="solid">
        <fgColor theme="2" tint="-0.09996999800205231"/>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style="thin"/>
      <top/>
      <bottom/>
    </border>
    <border>
      <left style="thin"/>
      <right style="thin"/>
      <top/>
      <bottom/>
    </border>
    <border>
      <left/>
      <right style="thin"/>
      <top/>
      <bottom style="thin"/>
    </border>
    <border>
      <left style="thin"/>
      <right style="thin"/>
      <top style="thin"/>
      <bottom style="thin"/>
    </border>
    <border>
      <left/>
      <right/>
      <top style="thin"/>
      <bottom style="thin"/>
    </border>
    <border>
      <left/>
      <right/>
      <top/>
      <bottom style="thin"/>
    </border>
    <border>
      <left style="thin"/>
      <right style="thin"/>
      <top/>
      <bottom style="thin"/>
    </border>
    <border>
      <left style="thin"/>
      <right/>
      <top style="thin"/>
      <bottom style="thin"/>
    </border>
    <border>
      <left style="thin"/>
      <right/>
      <top style="thin"/>
      <bottom/>
    </border>
    <border>
      <left style="thin"/>
      <right/>
      <top/>
      <bottom/>
    </border>
    <border>
      <left/>
      <right/>
      <top style="thin"/>
      <bottom/>
    </border>
    <border>
      <left/>
      <right style="thin"/>
      <top style="thin"/>
      <bottom style="thin"/>
    </border>
    <border>
      <left/>
      <right style="thin"/>
      <top style="thin"/>
      <bottom/>
    </border>
    <border>
      <left style="thin"/>
      <right style="thin"/>
      <top style="thin"/>
      <bottom/>
    </border>
    <border>
      <left style="medium"/>
      <right style="thin"/>
      <top style="thin"/>
      <bottom style="thin"/>
    </border>
    <border>
      <left style="medium"/>
      <right/>
      <top style="thin"/>
      <bottom style="thin"/>
    </border>
    <border>
      <left/>
      <right style="medium"/>
      <top style="thin"/>
      <bottom style="thin"/>
    </border>
    <border>
      <left style="thin"/>
      <right style="medium"/>
      <top style="thin"/>
      <bottom style="thin"/>
    </border>
    <border>
      <left style="thin"/>
      <right style="medium"/>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05">
    <xf numFmtId="0" fontId="0" fillId="0" borderId="0" xfId="0" applyAlignment="1">
      <alignment/>
    </xf>
    <xf numFmtId="43" fontId="3" fillId="0" borderId="0" xfId="42" applyFont="1" applyBorder="1" applyAlignment="1" applyProtection="1">
      <alignment/>
      <protection locked="0"/>
    </xf>
    <xf numFmtId="0" fontId="3" fillId="0" borderId="10" xfId="0" applyFont="1" applyBorder="1" applyAlignment="1" applyProtection="1">
      <alignment horizontal="center"/>
      <protection locked="0"/>
    </xf>
    <xf numFmtId="0" fontId="0" fillId="33" borderId="11" xfId="0" applyFill="1" applyBorder="1" applyAlignment="1" applyProtection="1">
      <alignment/>
      <protection/>
    </xf>
    <xf numFmtId="0" fontId="3" fillId="33" borderId="12" xfId="0" applyFont="1" applyFill="1" applyBorder="1" applyAlignment="1" applyProtection="1">
      <alignment/>
      <protection/>
    </xf>
    <xf numFmtId="0" fontId="3" fillId="33" borderId="0" xfId="0" applyFont="1" applyFill="1" applyAlignment="1" applyProtection="1">
      <alignment/>
      <protection/>
    </xf>
    <xf numFmtId="0" fontId="3" fillId="33" borderId="13" xfId="0" applyFont="1" applyFill="1" applyBorder="1" applyAlignment="1" applyProtection="1">
      <alignment/>
      <protection/>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3" fillId="0" borderId="15" xfId="42" applyNumberFormat="1" applyFont="1" applyFill="1" applyBorder="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xf>
    <xf numFmtId="20" fontId="3" fillId="0" borderId="16" xfId="64" applyNumberFormat="1" applyFont="1" applyBorder="1" applyAlignment="1" applyProtection="1">
      <alignment horizontal="center"/>
      <protection locked="0"/>
    </xf>
    <xf numFmtId="0" fontId="3" fillId="0" borderId="16" xfId="64" applyNumberFormat="1" applyFont="1" applyBorder="1" applyAlignment="1" applyProtection="1">
      <alignment horizontal="center"/>
      <protection locked="0"/>
    </xf>
    <xf numFmtId="0" fontId="3" fillId="0" borderId="0" xfId="64" applyNumberFormat="1" applyFont="1" applyBorder="1" applyAlignment="1" applyProtection="1">
      <alignment horizontal="center"/>
      <protection locked="0"/>
    </xf>
    <xf numFmtId="0" fontId="3" fillId="0" borderId="0" xfId="64" applyProtection="1">
      <alignment/>
      <protection/>
    </xf>
    <xf numFmtId="44" fontId="3" fillId="0" borderId="0" xfId="47" applyFont="1" applyBorder="1" applyAlignment="1" applyProtection="1">
      <alignment horizontal="right"/>
      <protection locked="0"/>
    </xf>
    <xf numFmtId="0" fontId="11" fillId="0" borderId="0" xfId="64" applyFont="1" applyAlignment="1" applyProtection="1">
      <alignment horizontal="center"/>
      <protection/>
    </xf>
    <xf numFmtId="173" fontId="8" fillId="34" borderId="14" xfId="64" applyNumberFormat="1" applyFont="1" applyFill="1" applyBorder="1" applyAlignment="1" applyProtection="1">
      <alignment horizontal="center" vertical="center"/>
      <protection/>
    </xf>
    <xf numFmtId="0" fontId="8" fillId="0" borderId="0" xfId="64" applyFont="1" applyAlignment="1" applyProtection="1">
      <alignment horizontal="center"/>
      <protection/>
    </xf>
    <xf numFmtId="0" fontId="3" fillId="0" borderId="0" xfId="64" applyAlignment="1" applyProtection="1">
      <alignment wrapText="1"/>
      <protection/>
    </xf>
    <xf numFmtId="0" fontId="8" fillId="0" borderId="14" xfId="64" applyFont="1" applyBorder="1" applyAlignment="1" applyProtection="1">
      <alignment horizontal="center" vertical="center"/>
      <protection/>
    </xf>
    <xf numFmtId="173" fontId="3" fillId="0" borderId="14" xfId="64" applyNumberFormat="1" applyFill="1" applyBorder="1" applyAlignment="1" applyProtection="1">
      <alignment horizontal="center" vertical="center"/>
      <protection/>
    </xf>
    <xf numFmtId="0" fontId="8" fillId="0" borderId="15" xfId="64" applyFont="1" applyBorder="1" applyAlignment="1" applyProtection="1">
      <alignment horizontal="center" vertical="center"/>
      <protection/>
    </xf>
    <xf numFmtId="173" fontId="3" fillId="0" borderId="15" xfId="64" applyNumberFormat="1" applyFill="1" applyBorder="1" applyAlignment="1" applyProtection="1">
      <alignment horizontal="center" vertical="center"/>
      <protection/>
    </xf>
    <xf numFmtId="0" fontId="78" fillId="0" borderId="0" xfId="64" applyFont="1" applyBorder="1" applyAlignment="1" applyProtection="1">
      <alignment horizontal="center"/>
      <protection/>
    </xf>
    <xf numFmtId="174" fontId="8" fillId="0" borderId="14" xfId="64" applyNumberFormat="1" applyFont="1" applyBorder="1" applyAlignment="1" applyProtection="1">
      <alignment horizontal="center" vertical="center"/>
      <protection/>
    </xf>
    <xf numFmtId="4" fontId="8" fillId="0" borderId="14" xfId="64" applyNumberFormat="1" applyFont="1" applyBorder="1" applyAlignment="1" applyProtection="1">
      <alignment horizontal="center" vertical="center"/>
      <protection/>
    </xf>
    <xf numFmtId="173" fontId="8" fillId="0" borderId="14" xfId="64" applyNumberFormat="1" applyFont="1" applyBorder="1" applyAlignment="1" applyProtection="1">
      <alignment horizontal="center" vertical="center"/>
      <protection/>
    </xf>
    <xf numFmtId="173" fontId="8" fillId="0" borderId="0" xfId="64" applyNumberFormat="1" applyFont="1" applyBorder="1" applyAlignment="1" applyProtection="1">
      <alignment horizontal="center" vertical="center"/>
      <protection/>
    </xf>
    <xf numFmtId="0" fontId="11" fillId="0" borderId="0" xfId="64" applyFont="1" applyAlignment="1" applyProtection="1">
      <alignment horizontal="centerContinuous"/>
      <protection/>
    </xf>
    <xf numFmtId="174" fontId="3" fillId="0" borderId="14" xfId="64" applyNumberFormat="1" applyFont="1" applyBorder="1" applyAlignment="1" applyProtection="1">
      <alignment horizontal="center" vertical="center"/>
      <protection/>
    </xf>
    <xf numFmtId="4" fontId="3" fillId="0" borderId="14" xfId="64" applyNumberFormat="1" applyFont="1" applyBorder="1" applyAlignment="1" applyProtection="1">
      <alignment horizontal="center" vertical="center"/>
      <protection/>
    </xf>
    <xf numFmtId="173" fontId="3" fillId="0" borderId="0" xfId="64" applyNumberFormat="1" applyFont="1" applyBorder="1" applyAlignment="1" applyProtection="1">
      <alignment horizontal="right" vertical="center"/>
      <protection/>
    </xf>
    <xf numFmtId="173" fontId="3" fillId="0" borderId="0" xfId="64" applyNumberFormat="1" applyBorder="1" applyAlignment="1" applyProtection="1">
      <alignment horizontal="right" vertical="center"/>
      <protection/>
    </xf>
    <xf numFmtId="173" fontId="3" fillId="0" borderId="0" xfId="64" applyNumberFormat="1" applyBorder="1" applyAlignment="1" applyProtection="1">
      <alignment horizontal="left" vertical="center"/>
      <protection/>
    </xf>
    <xf numFmtId="0" fontId="3" fillId="0" borderId="0" xfId="64" applyBorder="1" applyAlignment="1" applyProtection="1">
      <alignment horizontal="left" vertical="center"/>
      <protection/>
    </xf>
    <xf numFmtId="0" fontId="3" fillId="0" borderId="0" xfId="64" applyBorder="1" applyAlignment="1" applyProtection="1">
      <alignment/>
      <protection/>
    </xf>
    <xf numFmtId="0" fontId="8" fillId="0" borderId="17" xfId="64" applyFont="1" applyBorder="1" applyAlignment="1" applyProtection="1">
      <alignment horizontal="center" vertical="center"/>
      <protection/>
    </xf>
    <xf numFmtId="173" fontId="3" fillId="0" borderId="17" xfId="64" applyNumberFormat="1" applyBorder="1" applyAlignment="1" applyProtection="1">
      <alignment horizontal="center" vertical="center"/>
      <protection/>
    </xf>
    <xf numFmtId="173" fontId="3" fillId="0" borderId="0" xfId="64" applyNumberFormat="1" applyBorder="1" applyAlignment="1" applyProtection="1">
      <alignment horizontal="center" vertical="center"/>
      <protection/>
    </xf>
    <xf numFmtId="0" fontId="3" fillId="0" borderId="0" xfId="64" applyBorder="1" applyAlignment="1" applyProtection="1">
      <alignment horizontal="center" vertical="center"/>
      <protection/>
    </xf>
    <xf numFmtId="0" fontId="3" fillId="0" borderId="0" xfId="64" applyFont="1" applyBorder="1" applyAlignment="1" applyProtection="1">
      <alignment horizontal="center" vertical="center"/>
      <protection/>
    </xf>
    <xf numFmtId="0" fontId="69" fillId="0" borderId="0" xfId="56" applyAlignment="1" applyProtection="1">
      <alignment/>
      <protection/>
    </xf>
    <xf numFmtId="0" fontId="79" fillId="0" borderId="0" xfId="61" applyFont="1">
      <alignment/>
      <protection/>
    </xf>
    <xf numFmtId="0" fontId="80" fillId="0" borderId="0" xfId="61" applyFont="1">
      <alignment/>
      <protection/>
    </xf>
    <xf numFmtId="0" fontId="3" fillId="0" borderId="0" xfId="61" applyFont="1">
      <alignment/>
      <protection/>
    </xf>
    <xf numFmtId="0" fontId="3" fillId="0" borderId="0" xfId="61">
      <alignment/>
      <protection/>
    </xf>
    <xf numFmtId="9" fontId="3" fillId="0" borderId="0" xfId="61" applyNumberFormat="1">
      <alignment/>
      <protection/>
    </xf>
    <xf numFmtId="43" fontId="0" fillId="0" borderId="0" xfId="44" applyFont="1" applyAlignment="1">
      <alignment/>
    </xf>
    <xf numFmtId="49" fontId="0" fillId="35" borderId="10" xfId="0" applyNumberFormat="1" applyFont="1" applyFill="1" applyBorder="1" applyAlignment="1" applyProtection="1">
      <alignment horizontal="center" vertical="center"/>
      <protection locked="0"/>
    </xf>
    <xf numFmtId="49" fontId="0" fillId="35" borderId="16" xfId="0" applyNumberFormat="1" applyFont="1" applyFill="1" applyBorder="1" applyAlignment="1" applyProtection="1">
      <alignment horizontal="center" vertical="center"/>
      <protection locked="0"/>
    </xf>
    <xf numFmtId="49" fontId="0" fillId="35" borderId="13" xfId="0" applyNumberFormat="1" applyFont="1" applyFill="1" applyBorder="1" applyAlignment="1" applyProtection="1">
      <alignment horizontal="center" vertical="center"/>
      <protection locked="0"/>
    </xf>
    <xf numFmtId="0" fontId="0" fillId="35" borderId="16" xfId="0" applyFont="1" applyFill="1" applyBorder="1" applyAlignment="1" applyProtection="1">
      <alignment horizontal="left" vertical="top" wrapText="1" indent="1"/>
      <protection locked="0"/>
    </xf>
    <xf numFmtId="0" fontId="0" fillId="35" borderId="13" xfId="0" applyFont="1" applyFill="1" applyBorder="1" applyAlignment="1" applyProtection="1">
      <alignment horizontal="left" vertical="top" wrapText="1" indent="1"/>
      <protection locked="0"/>
    </xf>
    <xf numFmtId="0" fontId="0" fillId="35" borderId="16" xfId="0" applyFill="1" applyBorder="1" applyAlignment="1" applyProtection="1">
      <alignment vertical="top" wrapText="1"/>
      <protection locked="0"/>
    </xf>
    <xf numFmtId="0" fontId="0" fillId="35" borderId="13" xfId="0" applyFill="1" applyBorder="1" applyAlignment="1" applyProtection="1">
      <alignment vertical="top" wrapText="1"/>
      <protection locked="0"/>
    </xf>
    <xf numFmtId="173" fontId="3" fillId="0" borderId="14" xfId="64" applyNumberFormat="1" applyBorder="1" applyAlignment="1" applyProtection="1">
      <alignment horizontal="center" vertical="center"/>
      <protection/>
    </xf>
    <xf numFmtId="4" fontId="8" fillId="0" borderId="14" xfId="64" applyNumberFormat="1" applyFont="1" applyBorder="1" applyAlignment="1" applyProtection="1">
      <alignment vertical="center"/>
      <protection/>
    </xf>
    <xf numFmtId="44" fontId="3" fillId="0" borderId="14" xfId="64" applyNumberFormat="1" applyBorder="1" applyAlignment="1" applyProtection="1">
      <alignment horizontal="center" vertical="center"/>
      <protection/>
    </xf>
    <xf numFmtId="14" fontId="0" fillId="0" borderId="10" xfId="0" applyNumberFormat="1" applyFill="1" applyBorder="1" applyAlignment="1" applyProtection="1">
      <alignment vertical="center"/>
      <protection/>
    </xf>
    <xf numFmtId="14" fontId="0" fillId="0" borderId="16" xfId="0" applyNumberFormat="1" applyFill="1" applyBorder="1" applyAlignment="1" applyProtection="1">
      <alignment vertical="center"/>
      <protection/>
    </xf>
    <xf numFmtId="14" fontId="0" fillId="0" borderId="13" xfId="0" applyNumberFormat="1" applyFill="1" applyBorder="1" applyAlignment="1" applyProtection="1">
      <alignment vertical="center"/>
      <protection/>
    </xf>
    <xf numFmtId="43" fontId="3" fillId="0" borderId="18" xfId="0" applyNumberFormat="1" applyFont="1" applyBorder="1" applyAlignment="1" applyProtection="1">
      <alignment/>
      <protection locked="0"/>
    </xf>
    <xf numFmtId="0" fontId="8"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33" borderId="0" xfId="0" applyFont="1" applyFill="1" applyAlignment="1" applyProtection="1">
      <alignment/>
      <protection locked="0"/>
    </xf>
    <xf numFmtId="0" fontId="3" fillId="0" borderId="19" xfId="0" applyFont="1" applyBorder="1" applyAlignment="1" applyProtection="1">
      <alignment shrinkToFit="1"/>
      <protection locked="0"/>
    </xf>
    <xf numFmtId="0" fontId="3" fillId="0" borderId="20" xfId="0" applyFont="1" applyBorder="1" applyAlignment="1" applyProtection="1">
      <alignment shrinkToFit="1"/>
      <protection locked="0"/>
    </xf>
    <xf numFmtId="164" fontId="3" fillId="0" borderId="0" xfId="0" applyNumberFormat="1" applyFont="1" applyAlignment="1" applyProtection="1">
      <alignment/>
      <protection locked="0"/>
    </xf>
    <xf numFmtId="0" fontId="3" fillId="33" borderId="21" xfId="0" applyFont="1" applyFill="1" applyBorder="1" applyAlignment="1" applyProtection="1">
      <alignment/>
      <protection locked="0"/>
    </xf>
    <xf numFmtId="0" fontId="3" fillId="0" borderId="0" xfId="0" applyFont="1" applyAlignment="1" applyProtection="1">
      <alignment/>
      <protection hidden="1" locked="0"/>
    </xf>
    <xf numFmtId="0" fontId="3" fillId="0" borderId="0" xfId="0" applyFont="1" applyAlignment="1" applyProtection="1">
      <alignment horizontal="center"/>
      <protection hidden="1" locked="0"/>
    </xf>
    <xf numFmtId="0" fontId="3" fillId="33" borderId="0" xfId="0" applyFont="1" applyFill="1" applyBorder="1" applyAlignment="1" applyProtection="1">
      <alignment/>
      <protection locked="0"/>
    </xf>
    <xf numFmtId="43" fontId="3" fillId="0" borderId="0" xfId="0" applyNumberFormat="1" applyFont="1" applyAlignment="1" applyProtection="1">
      <alignment/>
      <protection hidden="1" locked="0"/>
    </xf>
    <xf numFmtId="0" fontId="3" fillId="0" borderId="0" xfId="0" applyFont="1" applyAlignment="1" applyProtection="1">
      <alignment horizontal="right"/>
      <protection hidden="1" locked="0"/>
    </xf>
    <xf numFmtId="43" fontId="3" fillId="0" borderId="14" xfId="42" applyFont="1" applyBorder="1" applyAlignment="1" applyProtection="1">
      <alignment/>
      <protection hidden="1"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165" fontId="0" fillId="0" borderId="0" xfId="0" applyNumberFormat="1" applyAlignment="1" applyProtection="1">
      <alignment/>
      <protection/>
    </xf>
    <xf numFmtId="0" fontId="2" fillId="0" borderId="0" xfId="0" applyFont="1" applyAlignment="1" applyProtection="1">
      <alignment horizontal="center"/>
      <protection/>
    </xf>
    <xf numFmtId="0" fontId="3" fillId="0" borderId="14" xfId="0" applyFont="1" applyFill="1" applyBorder="1" applyAlignment="1" applyProtection="1">
      <alignment horizontal="center"/>
      <protection/>
    </xf>
    <xf numFmtId="0" fontId="3" fillId="33" borderId="15" xfId="0" applyFont="1" applyFill="1" applyBorder="1" applyAlignment="1" applyProtection="1">
      <alignment/>
      <protection/>
    </xf>
    <xf numFmtId="0" fontId="3" fillId="33" borderId="18" xfId="0" applyFont="1" applyFill="1" applyBorder="1" applyAlignment="1" applyProtection="1">
      <alignment/>
      <protection/>
    </xf>
    <xf numFmtId="164" fontId="3" fillId="33" borderId="20" xfId="0" applyNumberFormat="1" applyFont="1" applyFill="1" applyBorder="1" applyAlignment="1" applyProtection="1">
      <alignment horizontal="center"/>
      <protection/>
    </xf>
    <xf numFmtId="0" fontId="3" fillId="33" borderId="20" xfId="0" applyFont="1" applyFill="1" applyBorder="1" applyAlignment="1" applyProtection="1">
      <alignment/>
      <protection/>
    </xf>
    <xf numFmtId="0" fontId="4" fillId="33" borderId="0" xfId="0" applyFont="1" applyFill="1" applyAlignment="1" applyProtection="1">
      <alignment/>
      <protection/>
    </xf>
    <xf numFmtId="0" fontId="3" fillId="33" borderId="16" xfId="0" applyFont="1" applyFill="1" applyBorder="1" applyAlignment="1" applyProtection="1">
      <alignment horizontal="right"/>
      <protection/>
    </xf>
    <xf numFmtId="0" fontId="3" fillId="33" borderId="13" xfId="0" applyFont="1" applyFill="1" applyBorder="1" applyAlignment="1" applyProtection="1">
      <alignment horizontal="right"/>
      <protection/>
    </xf>
    <xf numFmtId="164" fontId="3" fillId="33" borderId="19" xfId="0" applyNumberFormat="1" applyFont="1" applyFill="1" applyBorder="1" applyAlignment="1" applyProtection="1">
      <alignment horizontal="center"/>
      <protection/>
    </xf>
    <xf numFmtId="0" fontId="4" fillId="36" borderId="0" xfId="0" applyFont="1" applyFill="1" applyBorder="1" applyAlignment="1" applyProtection="1">
      <alignment horizontal="left"/>
      <protection/>
    </xf>
    <xf numFmtId="0" fontId="0" fillId="36" borderId="0" xfId="0" applyFill="1" applyAlignment="1" applyProtection="1">
      <alignment/>
      <protection/>
    </xf>
    <xf numFmtId="0" fontId="0" fillId="36" borderId="11" xfId="0" applyFill="1" applyBorder="1" applyAlignment="1" applyProtection="1">
      <alignment/>
      <protection/>
    </xf>
    <xf numFmtId="0" fontId="3" fillId="33" borderId="22" xfId="0" applyFont="1" applyFill="1" applyBorder="1" applyAlignment="1" applyProtection="1">
      <alignment/>
      <protection/>
    </xf>
    <xf numFmtId="0" fontId="3" fillId="33" borderId="21" xfId="0" applyFont="1" applyFill="1" applyBorder="1" applyAlignment="1" applyProtection="1">
      <alignment/>
      <protection/>
    </xf>
    <xf numFmtId="0" fontId="3" fillId="33" borderId="23" xfId="0" applyFont="1" applyFill="1" applyBorder="1" applyAlignment="1" applyProtection="1">
      <alignment/>
      <protection/>
    </xf>
    <xf numFmtId="0" fontId="3" fillId="33" borderId="11" xfId="0" applyFont="1" applyFill="1" applyBorder="1" applyAlignment="1" applyProtection="1">
      <alignment/>
      <protection/>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0" fontId="15" fillId="33" borderId="24" xfId="0" applyFont="1" applyFill="1" applyBorder="1" applyAlignment="1" applyProtection="1">
      <alignment/>
      <protection/>
    </xf>
    <xf numFmtId="0" fontId="6" fillId="33" borderId="15" xfId="0" applyFont="1" applyFill="1" applyBorder="1" applyAlignment="1" applyProtection="1">
      <alignment/>
      <protection/>
    </xf>
    <xf numFmtId="0" fontId="17" fillId="33" borderId="21" xfId="0" applyFont="1" applyFill="1" applyBorder="1" applyAlignment="1" applyProtection="1">
      <alignment/>
      <protection/>
    </xf>
    <xf numFmtId="0" fontId="17" fillId="33" borderId="15" xfId="0" applyFont="1" applyFill="1" applyBorder="1" applyAlignment="1" applyProtection="1">
      <alignment/>
      <protection/>
    </xf>
    <xf numFmtId="0" fontId="3" fillId="33" borderId="0" xfId="0" applyFont="1" applyFill="1" applyBorder="1" applyAlignment="1" applyProtection="1">
      <alignment horizontal="left"/>
      <protection/>
    </xf>
    <xf numFmtId="0" fontId="3" fillId="33" borderId="16" xfId="0" applyFont="1" applyFill="1" applyBorder="1" applyAlignment="1" applyProtection="1">
      <alignment horizontal="left"/>
      <protection/>
    </xf>
    <xf numFmtId="0" fontId="3" fillId="33" borderId="17" xfId="0" applyFont="1" applyFill="1" applyBorder="1" applyAlignment="1" applyProtection="1">
      <alignment/>
      <protection/>
    </xf>
    <xf numFmtId="0" fontId="3" fillId="0" borderId="10"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15" fillId="33" borderId="19" xfId="0" applyFont="1" applyFill="1" applyBorder="1" applyAlignment="1" applyProtection="1">
      <alignment/>
      <protection/>
    </xf>
    <xf numFmtId="0" fontId="3" fillId="36" borderId="12" xfId="0" applyFont="1" applyFill="1" applyBorder="1" applyAlignment="1" applyProtection="1">
      <alignment/>
      <protection/>
    </xf>
    <xf numFmtId="0" fontId="3" fillId="0" borderId="19" xfId="0" applyFont="1" applyFill="1" applyBorder="1" applyAlignment="1" applyProtection="1">
      <alignment/>
      <protection/>
    </xf>
    <xf numFmtId="0" fontId="3" fillId="0" borderId="21" xfId="0" applyFont="1" applyFill="1" applyBorder="1" applyAlignment="1" applyProtection="1">
      <alignment/>
      <protection/>
    </xf>
    <xf numFmtId="43" fontId="3" fillId="0" borderId="15" xfId="42" applyFont="1" applyFill="1" applyBorder="1" applyAlignment="1" applyProtection="1">
      <alignment/>
      <protection/>
    </xf>
    <xf numFmtId="43" fontId="3" fillId="0" borderId="21" xfId="42" applyFont="1" applyFill="1" applyBorder="1" applyAlignment="1" applyProtection="1">
      <alignment/>
      <protection/>
    </xf>
    <xf numFmtId="0" fontId="3" fillId="33" borderId="24" xfId="0" applyFont="1" applyFill="1" applyBorder="1" applyAlignment="1" applyProtection="1">
      <alignment/>
      <protection/>
    </xf>
    <xf numFmtId="0" fontId="0" fillId="33" borderId="12" xfId="0" applyFill="1" applyBorder="1" applyAlignment="1" applyProtection="1">
      <alignment horizontal="right"/>
      <protection/>
    </xf>
    <xf numFmtId="0" fontId="0" fillId="33" borderId="12" xfId="0" applyFill="1" applyBorder="1" applyAlignment="1" applyProtection="1">
      <alignment/>
      <protection/>
    </xf>
    <xf numFmtId="0" fontId="0" fillId="33" borderId="17" xfId="0" applyFill="1" applyBorder="1" applyAlignment="1" applyProtection="1">
      <alignment/>
      <protection/>
    </xf>
    <xf numFmtId="0" fontId="3" fillId="33" borderId="20" xfId="0" applyFont="1" applyFill="1" applyBorder="1" applyAlignment="1" applyProtection="1">
      <alignment vertical="top"/>
      <protection/>
    </xf>
    <xf numFmtId="0" fontId="3" fillId="33" borderId="0" xfId="0" applyFont="1" applyFill="1" applyBorder="1" applyAlignment="1" applyProtection="1">
      <alignment vertical="top"/>
      <protection/>
    </xf>
    <xf numFmtId="0" fontId="15" fillId="33" borderId="19" xfId="0" applyFont="1" applyFill="1" applyBorder="1" applyAlignment="1" applyProtection="1">
      <alignment/>
      <protection/>
    </xf>
    <xf numFmtId="0" fontId="15" fillId="33" borderId="20" xfId="0" applyFont="1" applyFill="1" applyBorder="1" applyAlignment="1" applyProtection="1">
      <alignment/>
      <protection/>
    </xf>
    <xf numFmtId="0" fontId="3" fillId="0" borderId="15" xfId="0" applyFont="1" applyFill="1" applyBorder="1" applyAlignment="1" applyProtection="1">
      <alignment horizontal="center"/>
      <protection/>
    </xf>
    <xf numFmtId="0" fontId="3" fillId="33" borderId="21" xfId="0" applyFont="1" applyFill="1" applyBorder="1" applyAlignment="1" applyProtection="1">
      <alignment/>
      <protection/>
    </xf>
    <xf numFmtId="0" fontId="3" fillId="33" borderId="14" xfId="0" applyFont="1" applyFill="1" applyBorder="1" applyAlignment="1" applyProtection="1">
      <alignment horizontal="center"/>
      <protection/>
    </xf>
    <xf numFmtId="43" fontId="6" fillId="0" borderId="0" xfId="42" applyFont="1" applyBorder="1" applyAlignment="1" applyProtection="1">
      <alignment horizontal="center" vertical="top" wrapText="1"/>
      <protection/>
    </xf>
    <xf numFmtId="0" fontId="0" fillId="0" borderId="0" xfId="0" applyBorder="1" applyAlignment="1" applyProtection="1">
      <alignment horizontal="center" vertical="top"/>
      <protection/>
    </xf>
    <xf numFmtId="0" fontId="0" fillId="0" borderId="0" xfId="0" applyBorder="1" applyAlignment="1" applyProtection="1">
      <alignment/>
      <protection/>
    </xf>
    <xf numFmtId="43" fontId="6" fillId="0" borderId="0" xfId="42" applyFont="1" applyBorder="1" applyAlignment="1" applyProtection="1">
      <alignment vertical="top" wrapText="1"/>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Border="1" applyAlignment="1" applyProtection="1">
      <alignment/>
      <protection locked="0"/>
    </xf>
    <xf numFmtId="0" fontId="0" fillId="0" borderId="19" xfId="0" applyBorder="1" applyAlignment="1" applyProtection="1">
      <alignment shrinkToFit="1"/>
      <protection locked="0"/>
    </xf>
    <xf numFmtId="0" fontId="0" fillId="0" borderId="20" xfId="0" applyBorder="1" applyAlignment="1" applyProtection="1">
      <alignment shrinkToFit="1"/>
      <protection locked="0"/>
    </xf>
    <xf numFmtId="43" fontId="3" fillId="0" borderId="0" xfId="0" applyNumberFormat="1" applyFont="1" applyBorder="1" applyAlignment="1" applyProtection="1">
      <alignment/>
      <protection locked="0"/>
    </xf>
    <xf numFmtId="0" fontId="3" fillId="33" borderId="19" xfId="0" applyFont="1" applyFill="1" applyBorder="1" applyAlignment="1" applyProtection="1">
      <alignment/>
      <protection/>
    </xf>
    <xf numFmtId="0" fontId="4" fillId="33" borderId="21" xfId="0" applyFont="1" applyFill="1" applyBorder="1" applyAlignment="1" applyProtection="1">
      <alignment/>
      <protection/>
    </xf>
    <xf numFmtId="0" fontId="3" fillId="33" borderId="15" xfId="0" applyFont="1" applyFill="1" applyBorder="1" applyAlignment="1" applyProtection="1">
      <alignment horizontal="right"/>
      <protection/>
    </xf>
    <xf numFmtId="0" fontId="3" fillId="33" borderId="22" xfId="0" applyFont="1" applyFill="1" applyBorder="1" applyAlignment="1" applyProtection="1">
      <alignment horizontal="righ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0" fillId="33" borderId="19"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3" xfId="0" applyFill="1" applyBorder="1" applyAlignment="1" applyProtection="1">
      <alignment horizontal="center"/>
      <protection/>
    </xf>
    <xf numFmtId="0" fontId="0" fillId="33" borderId="19" xfId="0" applyFill="1" applyBorder="1" applyAlignment="1" applyProtection="1">
      <alignment shrinkToFit="1"/>
      <protection/>
    </xf>
    <xf numFmtId="0" fontId="0" fillId="33" borderId="21" xfId="0" applyFill="1" applyBorder="1" applyAlignment="1" applyProtection="1">
      <alignment shrinkToFit="1"/>
      <protection/>
    </xf>
    <xf numFmtId="0" fontId="0" fillId="33" borderId="23" xfId="0" applyFill="1" applyBorder="1" applyAlignment="1" applyProtection="1">
      <alignment shrinkToFit="1"/>
      <protection/>
    </xf>
    <xf numFmtId="0" fontId="0" fillId="33" borderId="20" xfId="0" applyFill="1" applyBorder="1" applyAlignment="1" applyProtection="1">
      <alignment shrinkToFit="1"/>
      <protection/>
    </xf>
    <xf numFmtId="0" fontId="0" fillId="33" borderId="0" xfId="0" applyFill="1" applyBorder="1" applyAlignment="1" applyProtection="1">
      <alignment shrinkToFit="1"/>
      <protection/>
    </xf>
    <xf numFmtId="0" fontId="0" fillId="33" borderId="11" xfId="0" applyFill="1" applyBorder="1" applyAlignment="1" applyProtection="1">
      <alignment shrinkToFit="1"/>
      <protection/>
    </xf>
    <xf numFmtId="0" fontId="0" fillId="33" borderId="0" xfId="0" applyFill="1" applyBorder="1" applyAlignment="1" applyProtection="1">
      <alignment/>
      <protection/>
    </xf>
    <xf numFmtId="0" fontId="0" fillId="33" borderId="15" xfId="0" applyFont="1" applyFill="1" applyBorder="1" applyAlignment="1" applyProtection="1">
      <alignment/>
      <protection/>
    </xf>
    <xf numFmtId="0" fontId="0" fillId="33" borderId="22" xfId="0" applyFont="1" applyFill="1" applyBorder="1" applyAlignment="1" applyProtection="1">
      <alignment/>
      <protection/>
    </xf>
    <xf numFmtId="0" fontId="0" fillId="33" borderId="21" xfId="0" applyFill="1" applyBorder="1" applyAlignment="1" applyProtection="1">
      <alignment/>
      <protection/>
    </xf>
    <xf numFmtId="0" fontId="0" fillId="33" borderId="23" xfId="0" applyFill="1" applyBorder="1" applyAlignment="1" applyProtection="1">
      <alignment/>
      <protection/>
    </xf>
    <xf numFmtId="43" fontId="0" fillId="33" borderId="0" xfId="42" applyFont="1" applyFill="1" applyBorder="1" applyAlignment="1" applyProtection="1">
      <alignment/>
      <protection/>
    </xf>
    <xf numFmtId="43" fontId="0" fillId="33" borderId="11" xfId="42" applyFont="1" applyFill="1" applyBorder="1" applyAlignment="1" applyProtection="1">
      <alignment/>
      <protection/>
    </xf>
    <xf numFmtId="43" fontId="0" fillId="33" borderId="22" xfId="42" applyFont="1" applyFill="1" applyBorder="1" applyAlignment="1" applyProtection="1">
      <alignment/>
      <protection/>
    </xf>
    <xf numFmtId="0" fontId="3" fillId="36" borderId="17" xfId="0" applyFont="1" applyFill="1" applyBorder="1" applyAlignment="1" applyProtection="1">
      <alignment/>
      <protection/>
    </xf>
    <xf numFmtId="0" fontId="0" fillId="33" borderId="15" xfId="0" applyFill="1" applyBorder="1" applyAlignment="1" applyProtection="1">
      <alignment/>
      <protection/>
    </xf>
    <xf numFmtId="43" fontId="0" fillId="0" borderId="0" xfId="42" applyFont="1" applyBorder="1" applyAlignment="1" applyProtection="1">
      <alignment/>
      <protection/>
    </xf>
    <xf numFmtId="0" fontId="3" fillId="0" borderId="15" xfId="42" applyNumberFormat="1" applyFont="1" applyFill="1" applyBorder="1" applyAlignment="1" applyProtection="1">
      <alignment/>
      <protection/>
    </xf>
    <xf numFmtId="0" fontId="0" fillId="36" borderId="12" xfId="0" applyFill="1" applyBorder="1" applyAlignment="1" applyProtection="1">
      <alignment/>
      <protection/>
    </xf>
    <xf numFmtId="0" fontId="3" fillId="0" borderId="16" xfId="64" applyBorder="1" applyAlignment="1" applyProtection="1">
      <alignment horizontal="left"/>
      <protection locked="0"/>
    </xf>
    <xf numFmtId="0" fontId="3" fillId="0" borderId="0" xfId="64" applyBorder="1" applyProtection="1">
      <alignment/>
      <protection locked="0"/>
    </xf>
    <xf numFmtId="0" fontId="3" fillId="0" borderId="0" xfId="64" applyProtection="1">
      <alignment/>
      <protection locked="0"/>
    </xf>
    <xf numFmtId="43" fontId="3" fillId="0" borderId="0" xfId="64" applyNumberFormat="1" applyProtection="1">
      <alignment/>
      <protection locked="0"/>
    </xf>
    <xf numFmtId="0" fontId="3" fillId="0" borderId="0" xfId="64" applyFill="1" applyBorder="1" applyProtection="1">
      <alignment/>
      <protection locked="0"/>
    </xf>
    <xf numFmtId="0" fontId="3" fillId="0" borderId="0" xfId="64" applyFill="1" applyProtection="1">
      <alignment/>
      <protection locked="0"/>
    </xf>
    <xf numFmtId="43" fontId="3" fillId="0" borderId="0" xfId="64" applyNumberFormat="1" applyFill="1" applyProtection="1">
      <alignment/>
      <protection locked="0"/>
    </xf>
    <xf numFmtId="0" fontId="8" fillId="0" borderId="0" xfId="64" applyFont="1" applyAlignment="1" applyProtection="1">
      <alignment horizontal="left" wrapText="1"/>
      <protection locked="0"/>
    </xf>
    <xf numFmtId="0" fontId="8" fillId="0" borderId="0" xfId="64" applyFont="1" applyAlignment="1" applyProtection="1">
      <alignment horizontal="right" vertical="center"/>
      <protection locked="0"/>
    </xf>
    <xf numFmtId="0" fontId="8" fillId="0" borderId="0" xfId="64" applyFont="1" applyBorder="1" applyAlignment="1" applyProtection="1">
      <alignment horizontal="right"/>
      <protection locked="0"/>
    </xf>
    <xf numFmtId="0" fontId="3" fillId="0" borderId="0" xfId="64" applyBorder="1" applyAlignment="1" applyProtection="1">
      <alignment horizontal="center"/>
      <protection locked="0"/>
    </xf>
    <xf numFmtId="0" fontId="3" fillId="0" borderId="0" xfId="64" applyBorder="1" applyAlignment="1" applyProtection="1">
      <alignment horizontal="right"/>
      <protection locked="0"/>
    </xf>
    <xf numFmtId="0" fontId="8" fillId="0" borderId="16" xfId="64" applyFont="1" applyBorder="1" applyProtection="1">
      <alignment/>
      <protection locked="0"/>
    </xf>
    <xf numFmtId="0" fontId="8" fillId="0" borderId="16" xfId="64" applyFont="1" applyBorder="1" applyAlignment="1" applyProtection="1">
      <alignment horizontal="left"/>
      <protection locked="0"/>
    </xf>
    <xf numFmtId="0" fontId="3" fillId="0" borderId="16" xfId="64" applyBorder="1" applyProtection="1">
      <alignment/>
      <protection locked="0"/>
    </xf>
    <xf numFmtId="0" fontId="81" fillId="0" borderId="0" xfId="64" applyFont="1" applyAlignment="1" applyProtection="1">
      <alignment horizontal="left" wrapText="1"/>
      <protection locked="0"/>
    </xf>
    <xf numFmtId="0" fontId="3" fillId="0" borderId="0" xfId="64" applyFont="1" applyProtection="1">
      <alignment/>
      <protection locked="0"/>
    </xf>
    <xf numFmtId="43" fontId="3" fillId="0" borderId="0" xfId="64" applyNumberFormat="1" applyFont="1" applyProtection="1">
      <alignment/>
      <protection locked="0"/>
    </xf>
    <xf numFmtId="0" fontId="3" fillId="0" borderId="0" xfId="64" applyFont="1" applyAlignment="1" applyProtection="1">
      <alignment/>
      <protection locked="0"/>
    </xf>
    <xf numFmtId="43" fontId="3" fillId="0" borderId="0" xfId="64" applyNumberFormat="1" applyFont="1" applyAlignment="1" applyProtection="1">
      <alignment/>
      <protection locked="0"/>
    </xf>
    <xf numFmtId="0" fontId="78" fillId="0" borderId="0" xfId="64" applyFont="1" applyBorder="1" applyAlignment="1" applyProtection="1">
      <alignment horizontal="center"/>
      <protection locked="0"/>
    </xf>
    <xf numFmtId="166" fontId="3" fillId="0" borderId="0" xfId="64" applyNumberFormat="1" applyBorder="1" applyAlignment="1" applyProtection="1">
      <alignment horizontal="left" vertical="center"/>
      <protection locked="0"/>
    </xf>
    <xf numFmtId="0" fontId="3" fillId="0" borderId="0" xfId="64" applyFont="1" applyBorder="1" applyProtection="1">
      <alignment/>
      <protection/>
    </xf>
    <xf numFmtId="0" fontId="3" fillId="0" borderId="0" xfId="64" applyBorder="1" applyProtection="1">
      <alignment/>
      <protection/>
    </xf>
    <xf numFmtId="0" fontId="9" fillId="37" borderId="0" xfId="64" applyFont="1" applyFill="1" applyBorder="1" applyProtection="1">
      <alignment/>
      <protection/>
    </xf>
    <xf numFmtId="0" fontId="3" fillId="37" borderId="0" xfId="64" applyFont="1" applyFill="1" applyBorder="1" applyProtection="1">
      <alignment/>
      <protection/>
    </xf>
    <xf numFmtId="0" fontId="3" fillId="37" borderId="0" xfId="64" applyFont="1" applyFill="1" applyBorder="1" applyAlignment="1" applyProtection="1">
      <alignment horizontal="right"/>
      <protection/>
    </xf>
    <xf numFmtId="164" fontId="3" fillId="37" borderId="0" xfId="64" applyNumberFormat="1" applyFont="1" applyFill="1" applyBorder="1" applyProtection="1">
      <alignment/>
      <protection/>
    </xf>
    <xf numFmtId="0" fontId="3" fillId="0" borderId="0" xfId="64" applyFill="1" applyProtection="1">
      <alignment/>
      <protection/>
    </xf>
    <xf numFmtId="0" fontId="9" fillId="0" borderId="0" xfId="64" applyFont="1" applyFill="1" applyBorder="1" applyProtection="1">
      <alignment/>
      <protection/>
    </xf>
    <xf numFmtId="0" fontId="3" fillId="0" borderId="0" xfId="64" applyFont="1" applyFill="1" applyBorder="1" applyProtection="1">
      <alignment/>
      <protection/>
    </xf>
    <xf numFmtId="0" fontId="3" fillId="0" borderId="0" xfId="64" applyFont="1" applyFill="1" applyBorder="1" applyAlignment="1" applyProtection="1">
      <alignment horizontal="right"/>
      <protection/>
    </xf>
    <xf numFmtId="164" fontId="3" fillId="0" borderId="0" xfId="64" applyNumberFormat="1" applyFont="1" applyFill="1" applyBorder="1" applyProtection="1">
      <alignment/>
      <protection/>
    </xf>
    <xf numFmtId="14" fontId="3" fillId="0" borderId="16" xfId="64" applyNumberFormat="1" applyFont="1" applyBorder="1" applyAlignment="1" applyProtection="1">
      <alignment horizontal="center"/>
      <protection/>
    </xf>
    <xf numFmtId="164" fontId="3" fillId="0" borderId="0" xfId="64" applyNumberFormat="1" applyProtection="1">
      <alignment/>
      <protection/>
    </xf>
    <xf numFmtId="0" fontId="3" fillId="0" borderId="0" xfId="64" applyNumberFormat="1" applyFont="1" applyBorder="1" applyAlignment="1" applyProtection="1">
      <alignment horizontal="center"/>
      <protection/>
    </xf>
    <xf numFmtId="0" fontId="8" fillId="0" borderId="0" xfId="64" applyFont="1" applyBorder="1" applyProtection="1">
      <alignment/>
      <protection/>
    </xf>
    <xf numFmtId="0" fontId="3" fillId="0" borderId="0" xfId="64" applyBorder="1" applyAlignment="1" applyProtection="1">
      <alignment horizontal="left"/>
      <protection/>
    </xf>
    <xf numFmtId="0" fontId="8" fillId="0" borderId="0" xfId="64" applyFont="1" applyBorder="1" applyAlignment="1" applyProtection="1">
      <alignment horizontal="left"/>
      <protection/>
    </xf>
    <xf numFmtId="0" fontId="3" fillId="0" borderId="0" xfId="64" applyFont="1" applyProtection="1">
      <alignment/>
      <protection/>
    </xf>
    <xf numFmtId="0" fontId="3" fillId="0" borderId="0" xfId="64" applyFont="1" applyAlignment="1" applyProtection="1">
      <alignment/>
      <protection/>
    </xf>
    <xf numFmtId="4" fontId="3" fillId="0" borderId="0" xfId="64" applyNumberFormat="1" applyFont="1" applyBorder="1" applyAlignment="1" applyProtection="1">
      <alignment horizontal="center" vertical="center"/>
      <protection/>
    </xf>
    <xf numFmtId="0" fontId="8" fillId="33" borderId="18" xfId="0" applyFont="1" applyFill="1" applyBorder="1" applyAlignment="1" applyProtection="1">
      <alignment/>
      <protection/>
    </xf>
    <xf numFmtId="43" fontId="3" fillId="0" borderId="0" xfId="42" applyFont="1" applyFill="1" applyBorder="1" applyAlignment="1" applyProtection="1">
      <alignment/>
      <protection/>
    </xf>
    <xf numFmtId="43" fontId="3" fillId="0" borderId="22" xfId="42" applyFont="1" applyBorder="1" applyAlignment="1" applyProtection="1">
      <alignment/>
      <protection/>
    </xf>
    <xf numFmtId="43" fontId="3" fillId="33" borderId="22" xfId="42" applyFont="1" applyFill="1" applyBorder="1" applyAlignment="1" applyProtection="1">
      <alignment/>
      <protection/>
    </xf>
    <xf numFmtId="0" fontId="0" fillId="0" borderId="16" xfId="0" applyBorder="1" applyAlignment="1" applyProtection="1">
      <alignment horizontal="center"/>
      <protection locked="0"/>
    </xf>
    <xf numFmtId="43" fontId="3" fillId="0" borderId="18" xfId="42" applyFont="1" applyFill="1" applyBorder="1" applyAlignment="1" applyProtection="1">
      <alignment/>
      <protection locked="0"/>
    </xf>
    <xf numFmtId="43" fontId="3" fillId="0" borderId="18" xfId="42" applyFont="1" applyBorder="1" applyAlignment="1" applyProtection="1">
      <alignment/>
      <protection locked="0"/>
    </xf>
    <xf numFmtId="43" fontId="3" fillId="0" borderId="19" xfId="42" applyFont="1" applyBorder="1" applyAlignment="1" applyProtection="1">
      <alignment/>
      <protection locked="0"/>
    </xf>
    <xf numFmtId="43" fontId="3" fillId="33" borderId="18" xfId="42" applyFont="1" applyFill="1" applyBorder="1" applyAlignment="1" applyProtection="1">
      <alignment/>
      <protection locked="0"/>
    </xf>
    <xf numFmtId="43" fontId="3" fillId="33" borderId="15" xfId="42" applyFont="1" applyFill="1" applyBorder="1" applyAlignment="1" applyProtection="1">
      <alignment/>
      <protection locked="0"/>
    </xf>
    <xf numFmtId="43" fontId="0" fillId="0" borderId="22" xfId="42" applyFont="1" applyFill="1" applyBorder="1" applyAlignment="1" applyProtection="1">
      <alignment/>
      <protection locked="0"/>
    </xf>
    <xf numFmtId="43" fontId="0" fillId="0" borderId="22" xfId="42" applyFont="1" applyBorder="1" applyAlignment="1" applyProtection="1">
      <alignment/>
      <protection locked="0"/>
    </xf>
    <xf numFmtId="43" fontId="0" fillId="0" borderId="23" xfId="42" applyFont="1" applyBorder="1" applyAlignment="1" applyProtection="1">
      <alignment/>
      <protection locked="0"/>
    </xf>
    <xf numFmtId="43" fontId="0" fillId="0" borderId="22" xfId="42" applyFont="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9" fillId="0" borderId="16" xfId="0" applyFont="1" applyBorder="1" applyAlignment="1" applyProtection="1">
      <alignment/>
      <protection/>
    </xf>
    <xf numFmtId="43" fontId="3" fillId="0" borderId="0" xfId="0" applyNumberFormat="1" applyFont="1" applyAlignment="1" applyProtection="1">
      <alignment/>
      <protection/>
    </xf>
    <xf numFmtId="4" fontId="3" fillId="0" borderId="0" xfId="64" applyNumberFormat="1" applyAlignment="1" applyProtection="1">
      <alignment wrapText="1"/>
      <protection/>
    </xf>
    <xf numFmtId="4" fontId="3" fillId="0" borderId="14" xfId="64" applyNumberFormat="1" applyFont="1" applyBorder="1" applyAlignment="1" applyProtection="1">
      <alignment horizontal="center"/>
      <protection locked="0"/>
    </xf>
    <xf numFmtId="43" fontId="8" fillId="0" borderId="0" xfId="44" applyFont="1" applyAlignment="1" applyProtection="1">
      <alignment horizontal="left" wrapText="1"/>
      <protection locked="0"/>
    </xf>
    <xf numFmtId="0" fontId="11" fillId="0" borderId="0" xfId="64" applyFont="1" applyAlignment="1" applyProtection="1">
      <alignment horizontal="centerContinuous"/>
      <protection locked="0"/>
    </xf>
    <xf numFmtId="173" fontId="3" fillId="0" borderId="0" xfId="64" applyNumberFormat="1" applyFont="1" applyBorder="1" applyAlignment="1" applyProtection="1">
      <alignment horizontal="left" vertical="center"/>
      <protection locked="0"/>
    </xf>
    <xf numFmtId="173" fontId="3" fillId="0" borderId="0" xfId="64" applyNumberFormat="1" applyFont="1" applyBorder="1" applyAlignment="1" applyProtection="1">
      <alignment horizontal="center" vertical="center"/>
      <protection locked="0"/>
    </xf>
    <xf numFmtId="0" fontId="3" fillId="0" borderId="0" xfId="64" applyFont="1" applyAlignment="1" applyProtection="1">
      <alignment horizontal="center"/>
      <protection locked="0"/>
    </xf>
    <xf numFmtId="43" fontId="0" fillId="0" borderId="0" xfId="44" applyFont="1" applyBorder="1" applyAlignment="1" applyProtection="1">
      <alignment horizontal="left" vertical="center"/>
      <protection locked="0"/>
    </xf>
    <xf numFmtId="9" fontId="0" fillId="0" borderId="0" xfId="70" applyFont="1" applyAlignment="1" applyProtection="1">
      <alignment/>
      <protection locked="0"/>
    </xf>
    <xf numFmtId="173" fontId="3" fillId="0" borderId="0" xfId="64" applyNumberFormat="1" applyBorder="1" applyAlignment="1" applyProtection="1">
      <alignment/>
      <protection locked="0"/>
    </xf>
    <xf numFmtId="43" fontId="0" fillId="0" borderId="0" xfId="44" applyFont="1" applyAlignment="1" applyProtection="1">
      <alignment/>
      <protection locked="0"/>
    </xf>
    <xf numFmtId="43" fontId="3" fillId="0" borderId="0" xfId="64" applyNumberFormat="1" applyAlignment="1" applyProtection="1">
      <alignment wrapText="1"/>
      <protection locked="0"/>
    </xf>
    <xf numFmtId="166" fontId="0" fillId="0" borderId="0" xfId="44" applyNumberFormat="1" applyFont="1" applyBorder="1" applyAlignment="1" applyProtection="1">
      <alignment horizontal="left" vertical="center"/>
      <protection locked="0"/>
    </xf>
    <xf numFmtId="0" fontId="3" fillId="0" borderId="0" xfId="64" applyBorder="1" applyAlignment="1" applyProtection="1">
      <alignment horizontal="left" vertical="center"/>
      <protection locked="0"/>
    </xf>
    <xf numFmtId="43" fontId="3" fillId="36" borderId="15" xfId="42" applyFont="1" applyFill="1" applyBorder="1" applyAlignment="1" applyProtection="1">
      <alignment/>
      <protection/>
    </xf>
    <xf numFmtId="43" fontId="3" fillId="36" borderId="22" xfId="42" applyFont="1" applyFill="1" applyBorder="1" applyAlignment="1" applyProtection="1">
      <alignment/>
      <protection/>
    </xf>
    <xf numFmtId="43" fontId="3" fillId="0" borderId="21" xfId="42" applyFont="1" applyFill="1" applyBorder="1" applyAlignment="1" applyProtection="1">
      <alignment/>
      <protection locked="0"/>
    </xf>
    <xf numFmtId="43" fontId="0" fillId="0" borderId="21" xfId="42" applyFont="1" applyFill="1" applyBorder="1" applyAlignment="1" applyProtection="1">
      <alignment/>
      <protection locked="0"/>
    </xf>
    <xf numFmtId="0" fontId="3" fillId="33" borderId="10" xfId="0" applyFont="1" applyFill="1" applyBorder="1" applyAlignment="1" applyProtection="1">
      <alignment/>
      <protection/>
    </xf>
    <xf numFmtId="0" fontId="3" fillId="33" borderId="14" xfId="0" applyFont="1" applyFill="1" applyBorder="1" applyAlignment="1" applyProtection="1">
      <alignment/>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0" borderId="18" xfId="42" applyFont="1" applyFill="1" applyBorder="1" applyAlignment="1" applyProtection="1">
      <alignment/>
      <protection/>
    </xf>
    <xf numFmtId="0" fontId="3" fillId="36" borderId="0" xfId="0" applyFont="1" applyFill="1" applyAlignment="1" applyProtection="1">
      <alignment/>
      <protection/>
    </xf>
    <xf numFmtId="43" fontId="3" fillId="0" borderId="18" xfId="42" applyFont="1" applyBorder="1" applyAlignment="1" applyProtection="1">
      <alignment/>
      <protection/>
    </xf>
    <xf numFmtId="43" fontId="3" fillId="33" borderId="0" xfId="42" applyFont="1" applyFill="1" applyBorder="1" applyAlignment="1" applyProtection="1">
      <alignment/>
      <protection/>
    </xf>
    <xf numFmtId="0" fontId="0" fillId="33" borderId="0" xfId="0" applyFill="1" applyAlignment="1" applyProtection="1">
      <alignment horizontal="left" vertical="center"/>
      <protection/>
    </xf>
    <xf numFmtId="0" fontId="0" fillId="33" borderId="11" xfId="0" applyFill="1" applyBorder="1" applyAlignment="1" applyProtection="1">
      <alignment horizontal="left" vertical="center"/>
      <protection/>
    </xf>
    <xf numFmtId="0" fontId="3" fillId="33" borderId="0" xfId="0" applyFont="1" applyFill="1" applyBorder="1" applyAlignment="1" applyProtection="1">
      <alignment/>
      <protection/>
    </xf>
    <xf numFmtId="0" fontId="3" fillId="0" borderId="18" xfId="0" applyFont="1" applyBorder="1" applyAlignment="1" applyProtection="1">
      <alignment/>
      <protection/>
    </xf>
    <xf numFmtId="0" fontId="0" fillId="35" borderId="16" xfId="0" applyFill="1" applyBorder="1" applyAlignment="1" applyProtection="1">
      <alignment vertical="top" wrapText="1"/>
      <protection/>
    </xf>
    <xf numFmtId="0" fontId="0" fillId="35" borderId="13" xfId="0" applyFill="1" applyBorder="1" applyAlignment="1" applyProtection="1">
      <alignment vertical="top" wrapText="1"/>
      <protection/>
    </xf>
    <xf numFmtId="164" fontId="3" fillId="33" borderId="24" xfId="0" applyNumberFormat="1" applyFont="1" applyFill="1" applyBorder="1" applyAlignment="1" applyProtection="1">
      <alignment horizontal="center"/>
      <protection/>
    </xf>
    <xf numFmtId="0" fontId="3" fillId="0" borderId="0" xfId="0" applyFont="1" applyAlignment="1" applyProtection="1">
      <alignment/>
      <protection hidden="1"/>
    </xf>
    <xf numFmtId="0" fontId="3" fillId="0" borderId="0" xfId="0" applyFont="1" applyAlignment="1" applyProtection="1">
      <alignment horizontal="center"/>
      <protection hidden="1"/>
    </xf>
    <xf numFmtId="0" fontId="0" fillId="0" borderId="19" xfId="0" applyBorder="1" applyAlignment="1" applyProtection="1">
      <alignment shrinkToFit="1"/>
      <protection/>
    </xf>
    <xf numFmtId="0" fontId="0" fillId="0" borderId="20" xfId="0" applyBorder="1" applyAlignment="1" applyProtection="1">
      <alignment shrinkToFit="1"/>
      <protection/>
    </xf>
    <xf numFmtId="43" fontId="0" fillId="0" borderId="22" xfId="42" applyFont="1" applyFill="1" applyBorder="1" applyAlignment="1" applyProtection="1">
      <alignment/>
      <protection/>
    </xf>
    <xf numFmtId="0" fontId="3" fillId="33" borderId="14" xfId="0" applyFont="1" applyFill="1" applyBorder="1" applyAlignment="1" applyProtection="1">
      <alignment horizontal="center"/>
      <protection locked="0"/>
    </xf>
    <xf numFmtId="0" fontId="19" fillId="0" borderId="0" xfId="65" applyFont="1" applyBorder="1" applyAlignment="1" applyProtection="1">
      <alignment horizontal="center"/>
      <protection/>
    </xf>
    <xf numFmtId="0" fontId="19" fillId="0" borderId="0" xfId="65" applyFont="1" applyBorder="1" applyAlignment="1" applyProtection="1">
      <alignment/>
      <protection/>
    </xf>
    <xf numFmtId="0" fontId="82" fillId="0" borderId="0" xfId="63" applyFont="1">
      <alignment/>
      <protection/>
    </xf>
    <xf numFmtId="0" fontId="0" fillId="0" borderId="0" xfId="63" applyFont="1" applyBorder="1">
      <alignment/>
      <protection/>
    </xf>
    <xf numFmtId="0" fontId="14" fillId="0" borderId="0" xfId="63" applyFont="1" applyBorder="1" applyAlignment="1" applyProtection="1">
      <alignment horizontal="center" vertical="top" wrapText="1"/>
      <protection hidden="1"/>
    </xf>
    <xf numFmtId="0" fontId="0" fillId="0" borderId="0" xfId="63" applyFont="1" applyBorder="1" applyProtection="1">
      <alignment/>
      <protection hidden="1"/>
    </xf>
    <xf numFmtId="0" fontId="11" fillId="0" borderId="0" xfId="63" applyFont="1" applyBorder="1" applyAlignment="1" applyProtection="1">
      <alignment horizontal="left" vertical="top" wrapText="1"/>
      <protection hidden="1"/>
    </xf>
    <xf numFmtId="0" fontId="83" fillId="0" borderId="0" xfId="63" applyFont="1" applyBorder="1" applyAlignment="1" applyProtection="1" quotePrefix="1">
      <alignment horizontal="left" vertical="top" wrapText="1"/>
      <protection hidden="1"/>
    </xf>
    <xf numFmtId="0" fontId="83" fillId="0" borderId="0" xfId="63" applyFont="1" applyBorder="1" applyAlignment="1" applyProtection="1">
      <alignment horizontal="left" vertical="top" wrapText="1"/>
      <protection hidden="1"/>
    </xf>
    <xf numFmtId="0" fontId="83" fillId="0" borderId="0" xfId="63" applyFont="1" applyBorder="1" applyAlignment="1">
      <alignment horizontal="left"/>
      <protection/>
    </xf>
    <xf numFmtId="0" fontId="0" fillId="0" borderId="0" xfId="63" applyFont="1" applyBorder="1" applyAlignment="1" applyProtection="1">
      <alignment horizontal="left"/>
      <protection hidden="1"/>
    </xf>
    <xf numFmtId="0" fontId="0" fillId="0" borderId="0" xfId="63" applyFont="1" applyBorder="1" applyAlignment="1">
      <alignment horizontal="left"/>
      <protection/>
    </xf>
    <xf numFmtId="0" fontId="0" fillId="0" borderId="0" xfId="63" applyFont="1" applyBorder="1" applyAlignment="1" applyProtection="1">
      <alignment horizontal="left" vertical="top" wrapText="1"/>
      <protection hidden="1"/>
    </xf>
    <xf numFmtId="0" fontId="84" fillId="0" borderId="0" xfId="63" applyFont="1" applyBorder="1" applyAlignment="1" applyProtection="1">
      <alignment vertical="top" wrapText="1"/>
      <protection hidden="1"/>
    </xf>
    <xf numFmtId="0" fontId="83" fillId="0" borderId="0" xfId="63" applyFont="1" applyAlignment="1">
      <alignment horizontal="left"/>
      <protection/>
    </xf>
    <xf numFmtId="0" fontId="11" fillId="0" borderId="0" xfId="63" applyFont="1" applyBorder="1" applyAlignment="1" applyProtection="1">
      <alignment vertical="top" wrapText="1"/>
      <protection hidden="1"/>
    </xf>
    <xf numFmtId="0" fontId="83" fillId="0" borderId="0" xfId="63" applyFont="1">
      <alignment/>
      <protection/>
    </xf>
    <xf numFmtId="0" fontId="83" fillId="0" borderId="0" xfId="63" applyFont="1" applyAlignment="1">
      <alignment wrapText="1"/>
      <protection/>
    </xf>
    <xf numFmtId="0" fontId="11" fillId="0" borderId="0" xfId="65" applyFont="1" applyBorder="1" applyAlignment="1" applyProtection="1">
      <alignment horizontal="center"/>
      <protection/>
    </xf>
    <xf numFmtId="0" fontId="11" fillId="0" borderId="0" xfId="65" applyFont="1" applyBorder="1" applyAlignment="1" applyProtection="1">
      <alignment/>
      <protection/>
    </xf>
    <xf numFmtId="0" fontId="83" fillId="0" borderId="0" xfId="63" applyFont="1" applyBorder="1" applyAlignment="1" applyProtection="1">
      <alignment horizontal="left" vertical="top"/>
      <protection hidden="1"/>
    </xf>
    <xf numFmtId="0" fontId="83" fillId="0" borderId="0" xfId="63" applyFont="1" applyAlignment="1">
      <alignment horizontal="left" vertical="top"/>
      <protection/>
    </xf>
    <xf numFmtId="0" fontId="11" fillId="0" borderId="0" xfId="0" applyFont="1" applyBorder="1" applyAlignment="1" applyProtection="1">
      <alignment vertical="top" wrapText="1"/>
      <protection hidden="1"/>
    </xf>
    <xf numFmtId="0" fontId="0" fillId="0" borderId="0" xfId="0" applyFont="1" applyBorder="1" applyAlignment="1" applyProtection="1">
      <alignment/>
      <protection hidden="1"/>
    </xf>
    <xf numFmtId="0" fontId="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11" fillId="0" borderId="0" xfId="0" applyFont="1" applyBorder="1" applyAlignment="1" applyProtection="1">
      <alignment horizontal="left" vertical="top" wrapText="1" indent="1"/>
      <protection hidden="1"/>
    </xf>
    <xf numFmtId="0" fontId="25" fillId="0" borderId="0" xfId="0" applyFont="1" applyBorder="1" applyAlignment="1" applyProtection="1">
      <alignment horizontal="right" vertical="top" wrapText="1"/>
      <protection hidden="1"/>
    </xf>
    <xf numFmtId="0" fontId="25" fillId="0" borderId="20" xfId="0" applyFont="1" applyBorder="1" applyAlignment="1">
      <alignment/>
    </xf>
    <xf numFmtId="171" fontId="20" fillId="0" borderId="0" xfId="0" applyNumberFormat="1" applyFont="1" applyBorder="1" applyAlignment="1" applyProtection="1">
      <alignment horizontal="right" vertical="top" wrapText="1" indent="2"/>
      <protection hidden="1"/>
    </xf>
    <xf numFmtId="177" fontId="26" fillId="0" borderId="20" xfId="0" applyNumberFormat="1" applyFont="1" applyBorder="1" applyAlignment="1" applyProtection="1">
      <alignment horizontal="left"/>
      <protection hidden="1"/>
    </xf>
    <xf numFmtId="177" fontId="26" fillId="0" borderId="0" xfId="0" applyNumberFormat="1" applyFont="1" applyBorder="1" applyAlignment="1" applyProtection="1">
      <alignment horizontal="center"/>
      <protection hidden="1"/>
    </xf>
    <xf numFmtId="171" fontId="13" fillId="0" borderId="0" xfId="0" applyNumberFormat="1" applyFont="1" applyBorder="1" applyAlignment="1" applyProtection="1">
      <alignment horizontal="left" vertical="top" wrapText="1" indent="2"/>
      <protection hidden="1"/>
    </xf>
    <xf numFmtId="171" fontId="0" fillId="0" borderId="0" xfId="0" applyNumberFormat="1" applyBorder="1" applyAlignment="1" applyProtection="1">
      <alignment horizontal="left" vertical="top" wrapText="1"/>
      <protection hidden="1"/>
    </xf>
    <xf numFmtId="0" fontId="0" fillId="0" borderId="0" xfId="0" applyFont="1" applyAlignment="1">
      <alignment horizontal="left"/>
    </xf>
    <xf numFmtId="0" fontId="0" fillId="0" borderId="0" xfId="0" applyAlignment="1">
      <alignment wrapText="1"/>
    </xf>
    <xf numFmtId="0" fontId="83" fillId="0" borderId="0" xfId="0" applyFont="1" applyBorder="1" applyAlignment="1" applyProtection="1">
      <alignment horizontal="left" vertical="top" wrapText="1"/>
      <protection hidden="1"/>
    </xf>
    <xf numFmtId="0" fontId="11" fillId="0" borderId="0" xfId="0" applyFont="1" applyBorder="1" applyAlignment="1">
      <alignment vertical="top"/>
    </xf>
    <xf numFmtId="0" fontId="0" fillId="0" borderId="0" xfId="0" applyFont="1" applyBorder="1" applyAlignment="1">
      <alignment/>
    </xf>
    <xf numFmtId="0" fontId="0" fillId="0" borderId="0" xfId="0" applyBorder="1" applyAlignment="1">
      <alignment vertical="top"/>
    </xf>
    <xf numFmtId="176" fontId="3" fillId="10" borderId="14" xfId="42" applyNumberFormat="1" applyFont="1" applyFill="1" applyBorder="1" applyAlignment="1" applyProtection="1">
      <alignment shrinkToFit="1"/>
      <protection/>
    </xf>
    <xf numFmtId="0" fontId="23" fillId="0" borderId="0" xfId="63" applyFont="1" applyBorder="1" applyAlignment="1" applyProtection="1">
      <alignment horizontal="left" vertical="top" wrapText="1"/>
      <protection hidden="1"/>
    </xf>
    <xf numFmtId="0" fontId="0" fillId="0" borderId="0" xfId="0" applyFont="1" applyBorder="1" applyAlignment="1">
      <alignment vertical="top"/>
    </xf>
    <xf numFmtId="43" fontId="0" fillId="0" borderId="0" xfId="0" applyNumberFormat="1" applyAlignment="1" applyProtection="1">
      <alignment/>
      <protection/>
    </xf>
    <xf numFmtId="0" fontId="2" fillId="0" borderId="0" xfId="0" applyFont="1" applyAlignment="1" applyProtection="1">
      <alignment horizontal="center"/>
      <protection/>
    </xf>
    <xf numFmtId="0" fontId="0" fillId="33" borderId="0" xfId="0" applyFill="1" applyBorder="1" applyAlignment="1" applyProtection="1">
      <alignment/>
      <protection/>
    </xf>
    <xf numFmtId="0" fontId="4" fillId="36" borderId="23" xfId="0" applyFont="1" applyFill="1" applyBorder="1" applyAlignment="1" applyProtection="1">
      <alignment horizontal="left"/>
      <protection/>
    </xf>
    <xf numFmtId="0" fontId="4" fillId="36" borderId="11" xfId="0" applyFont="1" applyFill="1" applyBorder="1" applyAlignment="1" applyProtection="1">
      <alignment horizontal="left"/>
      <protection/>
    </xf>
    <xf numFmtId="0" fontId="4" fillId="36" borderId="21" xfId="0" applyFont="1" applyFill="1" applyBorder="1" applyAlignment="1" applyProtection="1">
      <alignment horizontal="left"/>
      <protection/>
    </xf>
    <xf numFmtId="0" fontId="12" fillId="0" borderId="0" xfId="55" applyFont="1" applyBorder="1" applyAlignment="1" applyProtection="1">
      <alignment horizontal="center" vertical="top" wrapText="1"/>
      <protection hidden="1"/>
    </xf>
    <xf numFmtId="0" fontId="0" fillId="0" borderId="0" xfId="55" applyFont="1" applyBorder="1" applyAlignment="1" applyProtection="1">
      <alignment horizontal="left" vertical="top" wrapText="1"/>
      <protection hidden="1"/>
    </xf>
    <xf numFmtId="0" fontId="83"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0" xfId="0" applyAlignment="1">
      <alignment wrapText="1"/>
    </xf>
    <xf numFmtId="0" fontId="12" fillId="0" borderId="0" xfId="55" applyFont="1" applyBorder="1" applyAlignment="1" applyProtection="1">
      <alignment horizontal="left" vertical="top" wrapText="1"/>
      <protection hidden="1"/>
    </xf>
    <xf numFmtId="0" fontId="14" fillId="38" borderId="0" xfId="63" applyFont="1" applyFill="1" applyBorder="1" applyAlignment="1" applyProtection="1">
      <alignment horizontal="center" vertical="top" wrapText="1"/>
      <protection hidden="1"/>
    </xf>
    <xf numFmtId="0" fontId="12" fillId="0" borderId="0" xfId="57" applyFont="1" applyBorder="1" applyAlignment="1" applyProtection="1">
      <alignment horizontal="center" vertical="top" wrapText="1"/>
      <protection hidden="1"/>
    </xf>
    <xf numFmtId="0" fontId="0" fillId="0" borderId="0" xfId="0" applyFont="1" applyBorder="1" applyAlignment="1" applyProtection="1">
      <alignment horizontal="left" vertical="top" wrapText="1"/>
      <protection hidden="1"/>
    </xf>
    <xf numFmtId="0" fontId="84" fillId="0" borderId="0" xfId="63" applyFont="1" applyBorder="1" applyAlignment="1" applyProtection="1">
      <alignment horizontal="left" vertical="top" wrapText="1"/>
      <protection hidden="1"/>
    </xf>
    <xf numFmtId="0" fontId="11" fillId="0" borderId="0" xfId="63" applyFont="1" applyBorder="1" applyAlignment="1" applyProtection="1">
      <alignment vertical="top" wrapText="1"/>
      <protection hidden="1"/>
    </xf>
    <xf numFmtId="0" fontId="83" fillId="0" borderId="0" xfId="63" applyFont="1" applyAlignment="1">
      <alignment wrapText="1"/>
      <protection/>
    </xf>
    <xf numFmtId="0" fontId="11" fillId="0" borderId="0" xfId="63" applyFont="1" applyBorder="1" applyAlignment="1" applyProtection="1">
      <alignment horizontal="left" vertical="top" wrapText="1"/>
      <protection hidden="1"/>
    </xf>
    <xf numFmtId="0" fontId="83" fillId="0" borderId="0" xfId="63" applyFont="1" applyBorder="1" applyAlignment="1" applyProtection="1">
      <alignment horizontal="left" vertical="top" wrapText="1"/>
      <protection hidden="1"/>
    </xf>
    <xf numFmtId="171" fontId="0" fillId="0" borderId="0" xfId="0" applyNumberFormat="1" applyBorder="1" applyAlignment="1" applyProtection="1">
      <alignment horizontal="left" vertical="top" wrapText="1"/>
      <protection hidden="1"/>
    </xf>
    <xf numFmtId="171" fontId="0" fillId="0" borderId="0" xfId="0" applyNumberFormat="1" applyFont="1" applyBorder="1" applyAlignment="1" applyProtection="1">
      <alignment horizontal="left" vertical="top" wrapText="1"/>
      <protection hidden="1"/>
    </xf>
    <xf numFmtId="0" fontId="85" fillId="0" borderId="0" xfId="0" applyFont="1" applyBorder="1" applyAlignment="1" applyProtection="1">
      <alignment horizontal="left" vertical="top" wrapText="1"/>
      <protection hidden="1"/>
    </xf>
    <xf numFmtId="0" fontId="0" fillId="0" borderId="0" xfId="0" applyFont="1" applyAlignment="1">
      <alignment horizontal="left"/>
    </xf>
    <xf numFmtId="0" fontId="86" fillId="0" borderId="0" xfId="57" applyFont="1" applyBorder="1" applyAlignment="1" applyProtection="1">
      <alignment horizontal="left" vertical="top" wrapText="1"/>
      <protection hidden="1"/>
    </xf>
    <xf numFmtId="0" fontId="83" fillId="0" borderId="0" xfId="63" applyFont="1" applyBorder="1" applyAlignment="1" applyProtection="1">
      <alignment horizontal="left" vertical="top"/>
      <protection hidden="1"/>
    </xf>
    <xf numFmtId="0" fontId="83" fillId="0" borderId="0" xfId="63" applyFont="1" applyAlignment="1">
      <alignment horizontal="left" vertical="top"/>
      <protection/>
    </xf>
    <xf numFmtId="0" fontId="11" fillId="0" borderId="0" xfId="0" applyFont="1" applyBorder="1" applyAlignment="1" applyProtection="1">
      <alignment horizontal="left" vertical="top" wrapText="1"/>
      <protection hidden="1"/>
    </xf>
    <xf numFmtId="0" fontId="0" fillId="0" borderId="0" xfId="0" applyAlignment="1">
      <alignment horizontal="left"/>
    </xf>
    <xf numFmtId="0" fontId="0" fillId="0" borderId="0" xfId="55" applyFont="1" applyBorder="1" applyAlignment="1" applyProtection="1">
      <alignment horizontal="left" vertical="top" wrapText="1"/>
      <protection hidden="1"/>
    </xf>
    <xf numFmtId="171" fontId="0" fillId="0" borderId="0" xfId="0" applyNumberFormat="1" applyBorder="1" applyAlignment="1" applyProtection="1">
      <alignment horizontal="left" vertical="top"/>
      <protection hidden="1"/>
    </xf>
    <xf numFmtId="0" fontId="19" fillId="0" borderId="0" xfId="65" applyFont="1" applyBorder="1" applyAlignment="1" applyProtection="1">
      <alignment horizontal="center"/>
      <protection/>
    </xf>
    <xf numFmtId="0" fontId="83" fillId="0" borderId="0" xfId="63" applyFont="1" applyBorder="1" applyAlignment="1" applyProtection="1" quotePrefix="1">
      <alignment horizontal="left" vertical="top" wrapText="1"/>
      <protection hidden="1"/>
    </xf>
    <xf numFmtId="0" fontId="84" fillId="0" borderId="0" xfId="0" applyFont="1" applyBorder="1" applyAlignment="1" applyProtection="1">
      <alignment horizontal="left" vertical="top" wrapText="1"/>
      <protection hidden="1"/>
    </xf>
    <xf numFmtId="0" fontId="83" fillId="0" borderId="0" xfId="0" applyFont="1" applyAlignment="1">
      <alignment wrapText="1"/>
    </xf>
    <xf numFmtId="178" fontId="3" fillId="0" borderId="15" xfId="0" applyNumberFormat="1" applyFont="1" applyFill="1" applyBorder="1" applyAlignment="1" applyProtection="1">
      <alignment horizontal="right"/>
      <protection/>
    </xf>
    <xf numFmtId="0" fontId="2" fillId="10" borderId="18" xfId="0" applyFont="1" applyFill="1" applyBorder="1" applyAlignment="1" applyProtection="1">
      <alignment horizontal="center"/>
      <protection locked="0"/>
    </xf>
    <xf numFmtId="0" fontId="2" fillId="10" borderId="15" xfId="0"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0" fontId="10" fillId="0" borderId="0" xfId="0" applyFont="1" applyAlignment="1" applyProtection="1">
      <alignment horizontal="center"/>
      <protection/>
    </xf>
    <xf numFmtId="0" fontId="3" fillId="0" borderId="18" xfId="0" applyFont="1" applyFill="1" applyBorder="1" applyAlignment="1" applyProtection="1">
      <alignment horizontal="left"/>
      <protection/>
    </xf>
    <xf numFmtId="0" fontId="3" fillId="0" borderId="15" xfId="0" applyFont="1" applyFill="1" applyBorder="1" applyAlignment="1" applyProtection="1">
      <alignment horizontal="left"/>
      <protection/>
    </xf>
    <xf numFmtId="0" fontId="3" fillId="0" borderId="22" xfId="0" applyFont="1" applyFill="1" applyBorder="1" applyAlignment="1" applyProtection="1">
      <alignment horizontal="left"/>
      <protection/>
    </xf>
    <xf numFmtId="43" fontId="3" fillId="0" borderId="14" xfId="42" applyFont="1" applyBorder="1" applyAlignment="1" applyProtection="1">
      <alignment/>
      <protection/>
    </xf>
    <xf numFmtId="0" fontId="3" fillId="10" borderId="14" xfId="0" applyFont="1" applyFill="1" applyBorder="1" applyAlignment="1" applyProtection="1">
      <alignment shrinkToFit="1"/>
      <protection locked="0"/>
    </xf>
    <xf numFmtId="0" fontId="3" fillId="33" borderId="14" xfId="0" applyFont="1" applyFill="1" applyBorder="1" applyAlignment="1" applyProtection="1">
      <alignment horizontal="center"/>
      <protection/>
    </xf>
    <xf numFmtId="0" fontId="6" fillId="0" borderId="18" xfId="0" applyFont="1" applyFill="1" applyBorder="1" applyAlignment="1" applyProtection="1">
      <alignment/>
      <protection/>
    </xf>
    <xf numFmtId="0" fontId="6" fillId="0" borderId="15" xfId="0" applyFont="1" applyFill="1" applyBorder="1" applyAlignment="1" applyProtection="1">
      <alignment/>
      <protection/>
    </xf>
    <xf numFmtId="0" fontId="3" fillId="10" borderId="18" xfId="0" applyFont="1" applyFill="1" applyBorder="1" applyAlignment="1" applyProtection="1">
      <alignment shrinkToFit="1"/>
      <protection locked="0"/>
    </xf>
    <xf numFmtId="0" fontId="3" fillId="10" borderId="15" xfId="0" applyFont="1" applyFill="1" applyBorder="1" applyAlignment="1" applyProtection="1">
      <alignment shrinkToFit="1"/>
      <protection locked="0"/>
    </xf>
    <xf numFmtId="0" fontId="3" fillId="10" borderId="22" xfId="0" applyFont="1" applyFill="1" applyBorder="1" applyAlignment="1" applyProtection="1">
      <alignment shrinkToFit="1"/>
      <protection locked="0"/>
    </xf>
    <xf numFmtId="0" fontId="3" fillId="0" borderId="18"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22" xfId="0" applyFont="1" applyBorder="1" applyAlignment="1" applyProtection="1">
      <alignment horizontal="right"/>
      <protection/>
    </xf>
    <xf numFmtId="43" fontId="3" fillId="36" borderId="18" xfId="42" applyNumberFormat="1" applyFont="1" applyFill="1" applyBorder="1" applyAlignment="1" applyProtection="1">
      <alignment horizontal="center"/>
      <protection/>
    </xf>
    <xf numFmtId="0" fontId="3" fillId="36" borderId="15" xfId="42" applyNumberFormat="1" applyFont="1" applyFill="1" applyBorder="1" applyAlignment="1" applyProtection="1">
      <alignment horizontal="center"/>
      <protection/>
    </xf>
    <xf numFmtId="164" fontId="0" fillId="0" borderId="18" xfId="0" applyNumberFormat="1" applyFont="1" applyFill="1" applyBorder="1" applyAlignment="1" applyProtection="1">
      <alignment horizontal="center"/>
      <protection/>
    </xf>
    <xf numFmtId="164" fontId="0" fillId="0" borderId="15" xfId="0" applyNumberFormat="1" applyFont="1" applyFill="1" applyBorder="1" applyAlignment="1" applyProtection="1">
      <alignment horizontal="center"/>
      <protection/>
    </xf>
    <xf numFmtId="164" fontId="0" fillId="0" borderId="22" xfId="0" applyNumberFormat="1" applyFont="1" applyFill="1" applyBorder="1" applyAlignment="1" applyProtection="1">
      <alignment horizontal="center"/>
      <protection/>
    </xf>
    <xf numFmtId="43" fontId="3" fillId="10" borderId="14" xfId="42" applyFont="1" applyFill="1" applyBorder="1" applyAlignment="1" applyProtection="1">
      <alignment/>
      <protection locked="0"/>
    </xf>
    <xf numFmtId="43" fontId="3" fillId="10" borderId="18" xfId="42" applyFont="1" applyFill="1" applyBorder="1" applyAlignment="1" applyProtection="1">
      <alignment horizontal="right"/>
      <protection locked="0"/>
    </xf>
    <xf numFmtId="43" fontId="3" fillId="10" borderId="15" xfId="42" applyFont="1" applyFill="1" applyBorder="1" applyAlignment="1" applyProtection="1">
      <alignment horizontal="right"/>
      <protection locked="0"/>
    </xf>
    <xf numFmtId="43" fontId="3" fillId="10" borderId="22" xfId="42" applyFont="1" applyFill="1" applyBorder="1" applyAlignment="1" applyProtection="1">
      <alignment horizontal="right"/>
      <protection locked="0"/>
    </xf>
    <xf numFmtId="2" fontId="3" fillId="10" borderId="18" xfId="42" applyNumberFormat="1" applyFont="1" applyFill="1" applyBorder="1" applyAlignment="1" applyProtection="1">
      <alignment horizontal="center"/>
      <protection locked="0"/>
    </xf>
    <xf numFmtId="2" fontId="3" fillId="10" borderId="22" xfId="42" applyNumberFormat="1" applyFont="1" applyFill="1" applyBorder="1" applyAlignment="1" applyProtection="1">
      <alignment horizontal="center"/>
      <protection locked="0"/>
    </xf>
    <xf numFmtId="43" fontId="3" fillId="10" borderId="14" xfId="42" applyNumberFormat="1" applyFont="1" applyFill="1" applyBorder="1" applyAlignment="1" applyProtection="1">
      <alignment/>
      <protection locked="0"/>
    </xf>
    <xf numFmtId="0" fontId="3" fillId="35" borderId="18" xfId="0" applyFont="1" applyFill="1" applyBorder="1" applyAlignment="1" applyProtection="1">
      <alignment wrapText="1"/>
      <protection/>
    </xf>
    <xf numFmtId="0" fontId="3" fillId="35" borderId="15" xfId="0" applyFont="1" applyFill="1" applyBorder="1" applyAlignment="1" applyProtection="1">
      <alignment wrapText="1"/>
      <protection/>
    </xf>
    <xf numFmtId="0" fontId="3" fillId="35" borderId="22" xfId="0" applyFont="1" applyFill="1" applyBorder="1" applyAlignment="1" applyProtection="1">
      <alignment wrapText="1"/>
      <protection/>
    </xf>
    <xf numFmtId="0" fontId="3" fillId="10" borderId="18" xfId="0" applyFont="1" applyFill="1" applyBorder="1" applyAlignment="1" applyProtection="1">
      <alignment horizontal="center"/>
      <protection locked="0"/>
    </xf>
    <xf numFmtId="0" fontId="3" fillId="10" borderId="15" xfId="0" applyFont="1" applyFill="1" applyBorder="1" applyAlignment="1" applyProtection="1">
      <alignment horizontal="center"/>
      <protection locked="0"/>
    </xf>
    <xf numFmtId="0" fontId="3" fillId="10" borderId="22" xfId="0" applyFont="1" applyFill="1" applyBorder="1" applyAlignment="1" applyProtection="1">
      <alignment horizontal="center"/>
      <protection locked="0"/>
    </xf>
    <xf numFmtId="0" fontId="87" fillId="0" borderId="0" xfId="0" applyFont="1" applyAlignment="1" applyProtection="1">
      <alignment horizontal="left" wrapText="1"/>
      <protection locked="0"/>
    </xf>
    <xf numFmtId="43" fontId="3" fillId="10" borderId="18" xfId="42" applyFont="1" applyFill="1" applyBorder="1" applyAlignment="1" applyProtection="1">
      <alignment horizontal="center"/>
      <protection locked="0"/>
    </xf>
    <xf numFmtId="43" fontId="3" fillId="10" borderId="15" xfId="42" applyFont="1" applyFill="1" applyBorder="1" applyAlignment="1" applyProtection="1">
      <alignment horizontal="center"/>
      <protection locked="0"/>
    </xf>
    <xf numFmtId="43" fontId="3" fillId="10" borderId="22" xfId="42" applyFont="1" applyFill="1" applyBorder="1" applyAlignment="1" applyProtection="1">
      <alignment horizontal="center"/>
      <protection locked="0"/>
    </xf>
    <xf numFmtId="0" fontId="3" fillId="0" borderId="18" xfId="0" applyFont="1" applyFill="1" applyBorder="1" applyAlignment="1" applyProtection="1">
      <alignment horizontal="left" wrapText="1"/>
      <protection/>
    </xf>
    <xf numFmtId="0" fontId="3" fillId="0" borderId="15" xfId="0" applyFont="1" applyFill="1" applyBorder="1" applyAlignment="1" applyProtection="1">
      <alignment horizontal="left" wrapText="1"/>
      <protection/>
    </xf>
    <xf numFmtId="0" fontId="3" fillId="0" borderId="22" xfId="0" applyFont="1" applyFill="1" applyBorder="1" applyAlignment="1" applyProtection="1">
      <alignment horizontal="left" wrapText="1"/>
      <protection/>
    </xf>
    <xf numFmtId="0" fontId="3" fillId="10" borderId="18" xfId="0" applyFont="1" applyFill="1" applyBorder="1" applyAlignment="1" applyProtection="1">
      <alignment horizontal="center" wrapText="1"/>
      <protection locked="0"/>
    </xf>
    <xf numFmtId="0" fontId="3" fillId="10" borderId="15" xfId="0" applyFont="1" applyFill="1" applyBorder="1" applyAlignment="1" applyProtection="1">
      <alignment horizontal="center" wrapText="1"/>
      <protection locked="0"/>
    </xf>
    <xf numFmtId="0" fontId="3" fillId="10" borderId="22" xfId="0" applyFont="1" applyFill="1" applyBorder="1" applyAlignment="1" applyProtection="1">
      <alignment horizontal="center" wrapText="1"/>
      <protection locked="0"/>
    </xf>
    <xf numFmtId="0" fontId="0" fillId="0" borderId="19"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3" xfId="0" applyFill="1" applyBorder="1" applyAlignment="1" applyProtection="1">
      <alignment horizontal="center"/>
      <protection/>
    </xf>
    <xf numFmtId="0" fontId="0" fillId="0" borderId="2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4" fillId="0" borderId="10" xfId="0" applyFont="1" applyBorder="1" applyAlignment="1" applyProtection="1">
      <alignment horizontal="center" vertical="top"/>
      <protection/>
    </xf>
    <xf numFmtId="0" fontId="4" fillId="0" borderId="16" xfId="0" applyFont="1" applyBorder="1" applyAlignment="1" applyProtection="1">
      <alignment horizontal="center" vertical="top"/>
      <protection/>
    </xf>
    <xf numFmtId="0" fontId="4" fillId="0" borderId="13" xfId="0" applyFont="1" applyBorder="1" applyAlignment="1" applyProtection="1">
      <alignment horizontal="center" vertical="top"/>
      <protection/>
    </xf>
    <xf numFmtId="43" fontId="3" fillId="35" borderId="18" xfId="42" applyFont="1" applyFill="1" applyBorder="1" applyAlignment="1" applyProtection="1">
      <alignment/>
      <protection/>
    </xf>
    <xf numFmtId="43" fontId="3" fillId="35" borderId="15" xfId="42" applyFont="1" applyFill="1" applyBorder="1" applyAlignment="1" applyProtection="1">
      <alignment/>
      <protection/>
    </xf>
    <xf numFmtId="43" fontId="3" fillId="35" borderId="22" xfId="42" applyFont="1" applyFill="1" applyBorder="1" applyAlignment="1" applyProtection="1">
      <alignment/>
      <protection/>
    </xf>
    <xf numFmtId="43" fontId="3" fillId="33" borderId="14" xfId="42" applyFont="1" applyFill="1" applyBorder="1" applyAlignment="1" applyProtection="1">
      <alignment/>
      <protection/>
    </xf>
    <xf numFmtId="0" fontId="3" fillId="0" borderId="14" xfId="0" applyFont="1" applyBorder="1" applyAlignment="1" applyProtection="1">
      <alignment horizontal="right"/>
      <protection/>
    </xf>
    <xf numFmtId="43" fontId="3" fillId="10" borderId="24" xfId="42" applyFont="1" applyFill="1" applyBorder="1" applyAlignment="1" applyProtection="1">
      <alignment/>
      <protection locked="0"/>
    </xf>
    <xf numFmtId="0" fontId="3" fillId="39" borderId="18" xfId="0" applyFont="1" applyFill="1" applyBorder="1" applyAlignment="1" applyProtection="1">
      <alignment horizontal="center"/>
      <protection locked="0"/>
    </xf>
    <xf numFmtId="0" fontId="3" fillId="39" borderId="15" xfId="0" applyFont="1" applyFill="1" applyBorder="1" applyAlignment="1" applyProtection="1">
      <alignment horizontal="center"/>
      <protection locked="0"/>
    </xf>
    <xf numFmtId="0" fontId="3" fillId="39" borderId="22" xfId="0" applyFont="1" applyFill="1" applyBorder="1" applyAlignment="1" applyProtection="1">
      <alignment horizontal="center"/>
      <protection locked="0"/>
    </xf>
    <xf numFmtId="0" fontId="0" fillId="0" borderId="21" xfId="0" applyBorder="1" applyAlignment="1" applyProtection="1">
      <alignment horizontal="center" vertical="top"/>
      <protection/>
    </xf>
    <xf numFmtId="0" fontId="0" fillId="0" borderId="16" xfId="0" applyBorder="1" applyAlignment="1" applyProtection="1">
      <alignment horizontal="center"/>
      <protection locked="0"/>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43" fontId="3" fillId="36" borderId="21" xfId="42" applyFont="1" applyFill="1" applyBorder="1" applyAlignment="1" applyProtection="1">
      <alignment horizontal="center"/>
      <protection/>
    </xf>
    <xf numFmtId="43" fontId="3" fillId="36" borderId="23" xfId="42" applyFont="1" applyFill="1" applyBorder="1" applyAlignment="1" applyProtection="1">
      <alignment horizontal="center"/>
      <protection/>
    </xf>
    <xf numFmtId="43" fontId="3" fillId="0" borderId="25" xfId="42" applyFont="1" applyFill="1" applyBorder="1" applyAlignment="1" applyProtection="1">
      <alignment/>
      <protection/>
    </xf>
    <xf numFmtId="43" fontId="3" fillId="0" borderId="14" xfId="42" applyFont="1" applyFill="1" applyBorder="1" applyAlignment="1" applyProtection="1">
      <alignment/>
      <protection/>
    </xf>
    <xf numFmtId="43" fontId="4" fillId="0" borderId="26" xfId="42" applyFont="1" applyBorder="1" applyAlignment="1" applyProtection="1" quotePrefix="1">
      <alignment horizontal="center"/>
      <protection/>
    </xf>
    <xf numFmtId="43" fontId="4" fillId="0" borderId="15" xfId="42" applyFont="1" applyBorder="1" applyAlignment="1" applyProtection="1">
      <alignment horizontal="center"/>
      <protection/>
    </xf>
    <xf numFmtId="43" fontId="4" fillId="0" borderId="22" xfId="42" applyFont="1" applyBorder="1" applyAlignment="1" applyProtection="1">
      <alignment horizontal="center"/>
      <protection/>
    </xf>
    <xf numFmtId="43" fontId="0" fillId="0" borderId="21" xfId="42" applyFont="1" applyBorder="1" applyAlignment="1" applyProtection="1">
      <alignment horizontal="center" vertical="top" wrapText="1"/>
      <protection/>
    </xf>
    <xf numFmtId="43" fontId="0" fillId="0" borderId="0" xfId="42" applyFont="1" applyBorder="1" applyAlignment="1" applyProtection="1">
      <alignment horizontal="center" vertical="top" wrapText="1"/>
      <protection/>
    </xf>
    <xf numFmtId="0" fontId="0" fillId="0" borderId="0" xfId="0" applyBorder="1" applyAlignment="1" applyProtection="1">
      <alignment horizontal="center"/>
      <protection/>
    </xf>
    <xf numFmtId="0" fontId="3" fillId="0" borderId="14" xfId="0" applyNumberFormat="1" applyFont="1" applyBorder="1" applyAlignment="1" applyProtection="1">
      <alignment horizontal="center"/>
      <protection/>
    </xf>
    <xf numFmtId="0" fontId="3" fillId="10" borderId="14" xfId="0" applyFont="1" applyFill="1" applyBorder="1" applyAlignment="1" applyProtection="1">
      <alignment horizontal="center"/>
      <protection locked="0"/>
    </xf>
    <xf numFmtId="43" fontId="4" fillId="0" borderId="21" xfId="45" applyNumberFormat="1" applyFont="1" applyBorder="1" applyAlignment="1" applyProtection="1">
      <alignment horizontal="center" vertical="top"/>
      <protection/>
    </xf>
    <xf numFmtId="44" fontId="4" fillId="0" borderId="21" xfId="45" applyFont="1" applyBorder="1" applyAlignment="1" applyProtection="1">
      <alignment horizontal="center" vertical="top"/>
      <protection/>
    </xf>
    <xf numFmtId="0" fontId="4" fillId="0" borderId="21" xfId="0" applyFont="1" applyBorder="1" applyAlignment="1" applyProtection="1">
      <alignment horizontal="right" vertical="top"/>
      <protection/>
    </xf>
    <xf numFmtId="43" fontId="3" fillId="10" borderId="14" xfId="0" applyNumberFormat="1" applyFont="1" applyFill="1" applyBorder="1" applyAlignment="1" applyProtection="1">
      <alignment/>
      <protection locked="0"/>
    </xf>
    <xf numFmtId="0" fontId="3" fillId="10" borderId="14" xfId="0" applyFont="1" applyFill="1" applyBorder="1" applyAlignment="1" applyProtection="1">
      <alignment/>
      <protection locked="0"/>
    </xf>
    <xf numFmtId="0" fontId="3" fillId="10" borderId="20" xfId="66" applyFont="1" applyFill="1" applyBorder="1" applyAlignment="1" applyProtection="1">
      <alignment vertical="top" wrapText="1"/>
      <protection locked="0"/>
    </xf>
    <xf numFmtId="0" fontId="3" fillId="10" borderId="0" xfId="66" applyFont="1" applyFill="1" applyBorder="1" applyAlignment="1" applyProtection="1">
      <alignment vertical="top" wrapText="1"/>
      <protection locked="0"/>
    </xf>
    <xf numFmtId="0" fontId="3" fillId="10" borderId="11" xfId="66" applyFont="1" applyFill="1" applyBorder="1" applyAlignment="1" applyProtection="1">
      <alignment vertical="top" wrapText="1"/>
      <protection locked="0"/>
    </xf>
    <xf numFmtId="0" fontId="3" fillId="10" borderId="10" xfId="66" applyFont="1" applyFill="1" applyBorder="1" applyAlignment="1" applyProtection="1">
      <alignment vertical="top" wrapText="1"/>
      <protection locked="0"/>
    </xf>
    <xf numFmtId="0" fontId="3" fillId="10" borderId="16" xfId="66" applyFont="1" applyFill="1" applyBorder="1" applyAlignment="1" applyProtection="1">
      <alignment vertical="top" wrapText="1"/>
      <protection locked="0"/>
    </xf>
    <xf numFmtId="0" fontId="3" fillId="10" borderId="13" xfId="66" applyFont="1" applyFill="1" applyBorder="1" applyAlignment="1" applyProtection="1">
      <alignment vertical="top" wrapText="1"/>
      <protection locked="0"/>
    </xf>
    <xf numFmtId="0" fontId="11" fillId="33" borderId="21" xfId="0" applyFont="1"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36" borderId="26" xfId="42" applyFont="1" applyFill="1" applyBorder="1" applyAlignment="1" applyProtection="1">
      <alignment horizontal="center"/>
      <protection/>
    </xf>
    <xf numFmtId="43" fontId="3" fillId="36" borderId="15" xfId="42" applyFont="1" applyFill="1" applyBorder="1" applyAlignment="1" applyProtection="1">
      <alignment horizontal="center"/>
      <protection/>
    </xf>
    <xf numFmtId="43" fontId="3" fillId="36" borderId="22" xfId="42" applyFont="1" applyFill="1" applyBorder="1" applyAlignment="1" applyProtection="1">
      <alignment horizontal="center"/>
      <protection/>
    </xf>
    <xf numFmtId="43" fontId="3" fillId="0" borderId="14" xfId="42" applyFont="1" applyFill="1" applyBorder="1" applyAlignment="1" applyProtection="1">
      <alignment/>
      <protection locked="0"/>
    </xf>
    <xf numFmtId="168" fontId="3" fillId="33" borderId="15" xfId="42" applyNumberFormat="1" applyFont="1" applyFill="1" applyBorder="1" applyAlignment="1" applyProtection="1">
      <alignment horizontal="center"/>
      <protection hidden="1"/>
    </xf>
    <xf numFmtId="43" fontId="16" fillId="0" borderId="18" xfId="42" applyFont="1" applyBorder="1" applyAlignment="1" applyProtection="1">
      <alignment horizontal="center"/>
      <protection/>
    </xf>
    <xf numFmtId="43" fontId="16" fillId="0" borderId="15" xfId="42" applyFont="1" applyBorder="1" applyAlignment="1" applyProtection="1">
      <alignment horizontal="center"/>
      <protection/>
    </xf>
    <xf numFmtId="43" fontId="16" fillId="0" borderId="22" xfId="42" applyFont="1" applyBorder="1" applyAlignment="1" applyProtection="1">
      <alignment horizontal="center"/>
      <protection/>
    </xf>
    <xf numFmtId="0" fontId="3" fillId="0" borderId="14" xfId="0" applyFont="1" applyBorder="1" applyAlignment="1" applyProtection="1">
      <alignment horizontal="center"/>
      <protection locked="0"/>
    </xf>
    <xf numFmtId="0" fontId="3" fillId="0" borderId="14" xfId="0" applyFont="1" applyBorder="1" applyAlignment="1" applyProtection="1">
      <alignment horizontal="center"/>
      <protection/>
    </xf>
    <xf numFmtId="0" fontId="8" fillId="0" borderId="21" xfId="66" applyFont="1" applyBorder="1" applyAlignment="1" applyProtection="1">
      <alignment horizontal="center" vertical="top"/>
      <protection/>
    </xf>
    <xf numFmtId="0" fontId="3" fillId="0" borderId="16" xfId="66" applyFont="1" applyBorder="1" applyAlignment="1" applyProtection="1">
      <alignment horizontal="center"/>
      <protection locked="0"/>
    </xf>
    <xf numFmtId="0" fontId="0" fillId="0" borderId="21" xfId="66" applyFont="1" applyBorder="1" applyAlignment="1" applyProtection="1">
      <alignment horizontal="center" vertical="top"/>
      <protection/>
    </xf>
    <xf numFmtId="43" fontId="3" fillId="0" borderId="18" xfId="42" applyFont="1" applyFill="1" applyBorder="1" applyAlignment="1" applyProtection="1">
      <alignment/>
      <protection locked="0"/>
    </xf>
    <xf numFmtId="43" fontId="3" fillId="0" borderId="15" xfId="42" applyFont="1" applyFill="1" applyBorder="1" applyAlignment="1" applyProtection="1">
      <alignment/>
      <protection locked="0"/>
    </xf>
    <xf numFmtId="43" fontId="3" fillId="0" borderId="22" xfId="42" applyFont="1" applyFill="1" applyBorder="1" applyAlignment="1" applyProtection="1">
      <alignment/>
      <protection locked="0"/>
    </xf>
    <xf numFmtId="0" fontId="0" fillId="0" borderId="21" xfId="0" applyBorder="1" applyAlignment="1" applyProtection="1">
      <alignment horizontal="center"/>
      <protection/>
    </xf>
    <xf numFmtId="0" fontId="4" fillId="0" borderId="21" xfId="66" applyFont="1" applyBorder="1" applyAlignment="1" applyProtection="1">
      <alignment horizontal="center" wrapText="1"/>
      <protection/>
    </xf>
    <xf numFmtId="0" fontId="4" fillId="0" borderId="21" xfId="0" applyFont="1" applyBorder="1" applyAlignment="1" applyProtection="1">
      <alignment wrapText="1"/>
      <protection/>
    </xf>
    <xf numFmtId="0" fontId="0" fillId="0" borderId="21" xfId="0" applyBorder="1" applyAlignment="1" applyProtection="1">
      <alignment/>
      <protection/>
    </xf>
    <xf numFmtId="164" fontId="0" fillId="0" borderId="14" xfId="0" applyNumberFormat="1" applyFont="1" applyFill="1" applyBorder="1" applyAlignment="1" applyProtection="1">
      <alignment horizontal="center"/>
      <protection/>
    </xf>
    <xf numFmtId="0" fontId="8" fillId="33" borderId="15" xfId="0" applyFont="1" applyFill="1" applyBorder="1" applyAlignment="1" applyProtection="1">
      <alignment horizontal="right"/>
      <protection/>
    </xf>
    <xf numFmtId="0" fontId="8" fillId="33" borderId="22" xfId="0" applyFont="1" applyFill="1" applyBorder="1" applyAlignment="1" applyProtection="1">
      <alignment horizontal="right"/>
      <protection/>
    </xf>
    <xf numFmtId="0" fontId="3" fillId="0" borderId="18"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5" fillId="0" borderId="16" xfId="66" applyFont="1" applyBorder="1" applyAlignment="1" applyProtection="1">
      <alignment horizontal="center" vertical="top" wrapText="1"/>
      <protection locked="0"/>
    </xf>
    <xf numFmtId="0" fontId="8" fillId="36" borderId="18" xfId="0" applyFont="1" applyFill="1" applyBorder="1" applyAlignment="1" applyProtection="1">
      <alignment/>
      <protection/>
    </xf>
    <xf numFmtId="0" fontId="3" fillId="36" borderId="15" xfId="0" applyFont="1" applyFill="1" applyBorder="1" applyAlignment="1" applyProtection="1">
      <alignment/>
      <protection/>
    </xf>
    <xf numFmtId="0" fontId="0" fillId="0" borderId="16" xfId="66" applyFont="1" applyBorder="1" applyAlignment="1" applyProtection="1">
      <alignment horizontal="center" wrapText="1"/>
      <protection locked="0"/>
    </xf>
    <xf numFmtId="0" fontId="3" fillId="35" borderId="18" xfId="0" applyFont="1" applyFill="1" applyBorder="1" applyAlignment="1" applyProtection="1">
      <alignment vertical="center" wrapText="1"/>
      <protection/>
    </xf>
    <xf numFmtId="0" fontId="3" fillId="35" borderId="15" xfId="0" applyFont="1" applyFill="1" applyBorder="1" applyAlignment="1" applyProtection="1">
      <alignment vertical="center" wrapText="1"/>
      <protection/>
    </xf>
    <xf numFmtId="0" fontId="3" fillId="35" borderId="22" xfId="0" applyFont="1" applyFill="1" applyBorder="1" applyAlignment="1" applyProtection="1">
      <alignment vertical="center" wrapText="1"/>
      <protection/>
    </xf>
    <xf numFmtId="0" fontId="3" fillId="0" borderId="18"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22" xfId="0" applyFont="1" applyBorder="1" applyAlignment="1" applyProtection="1">
      <alignment horizontal="center"/>
      <protection/>
    </xf>
    <xf numFmtId="0" fontId="0" fillId="35" borderId="16" xfId="0" applyFont="1" applyFill="1" applyBorder="1" applyAlignment="1" applyProtection="1">
      <alignment horizontal="center" vertical="top" wrapText="1"/>
      <protection locked="0"/>
    </xf>
    <xf numFmtId="0" fontId="8" fillId="33" borderId="21" xfId="0" applyFont="1" applyFill="1" applyBorder="1" applyAlignment="1" applyProtection="1">
      <alignment horizontal="center" vertical="top"/>
      <protection/>
    </xf>
    <xf numFmtId="0" fontId="3" fillId="33" borderId="21"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1" xfId="0" applyBorder="1" applyAlignment="1" applyProtection="1">
      <alignment horizontal="center" vertical="top"/>
      <protection/>
    </xf>
    <xf numFmtId="172" fontId="4" fillId="0" borderId="18" xfId="0" applyNumberFormat="1" applyFont="1" applyFill="1" applyBorder="1" applyAlignment="1" applyProtection="1">
      <alignment horizontal="center"/>
      <protection/>
    </xf>
    <xf numFmtId="172" fontId="4" fillId="0" borderId="15" xfId="0" applyNumberFormat="1" applyFont="1" applyFill="1" applyBorder="1" applyAlignment="1" applyProtection="1">
      <alignment horizontal="center"/>
      <protection/>
    </xf>
    <xf numFmtId="172" fontId="4" fillId="0" borderId="22" xfId="0" applyNumberFormat="1" applyFont="1" applyFill="1" applyBorder="1" applyAlignment="1" applyProtection="1">
      <alignment horizontal="center"/>
      <protection/>
    </xf>
    <xf numFmtId="39" fontId="3" fillId="10" borderId="14" xfId="42" applyNumberFormat="1" applyFont="1" applyFill="1" applyBorder="1" applyAlignment="1" applyProtection="1">
      <alignment/>
      <protection locked="0"/>
    </xf>
    <xf numFmtId="0" fontId="0" fillId="0" borderId="23" xfId="0" applyBorder="1" applyAlignment="1" applyProtection="1">
      <alignment horizontal="center"/>
      <protection/>
    </xf>
    <xf numFmtId="0" fontId="8" fillId="0" borderId="19" xfId="66" applyFont="1" applyBorder="1" applyAlignment="1" applyProtection="1">
      <alignment horizontal="center" vertical="center" wrapText="1"/>
      <protection/>
    </xf>
    <xf numFmtId="0" fontId="8" fillId="0" borderId="21" xfId="66" applyFont="1" applyBorder="1" applyAlignment="1" applyProtection="1">
      <alignment horizontal="center" vertical="center" wrapText="1"/>
      <protection/>
    </xf>
    <xf numFmtId="0" fontId="8" fillId="0" borderId="23" xfId="66" applyFont="1" applyBorder="1" applyAlignment="1" applyProtection="1">
      <alignment horizontal="center" vertical="center" wrapText="1"/>
      <protection/>
    </xf>
    <xf numFmtId="0" fontId="8" fillId="0" borderId="20" xfId="66" applyFont="1" applyBorder="1" applyAlignment="1" applyProtection="1">
      <alignment horizontal="center" vertical="center" wrapText="1"/>
      <protection/>
    </xf>
    <xf numFmtId="0" fontId="8" fillId="0" borderId="0" xfId="66" applyFont="1" applyBorder="1" applyAlignment="1" applyProtection="1">
      <alignment horizontal="center" vertical="center" wrapText="1"/>
      <protection/>
    </xf>
    <xf numFmtId="0" fontId="8" fillId="0" borderId="11" xfId="66" applyFont="1" applyBorder="1" applyAlignment="1" applyProtection="1">
      <alignment horizontal="center" vertical="center" wrapText="1"/>
      <protection/>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43" fontId="3" fillId="0" borderId="25" xfId="42" applyFont="1" applyBorder="1" applyAlignment="1" applyProtection="1">
      <alignment/>
      <protection/>
    </xf>
    <xf numFmtId="0" fontId="8" fillId="0" borderId="14" xfId="0" applyFont="1" applyFill="1" applyBorder="1" applyAlignment="1" applyProtection="1">
      <alignment horizontal="center"/>
      <protection/>
    </xf>
    <xf numFmtId="0" fontId="2" fillId="10" borderId="18" xfId="0" applyFont="1" applyFill="1" applyBorder="1" applyAlignment="1" applyProtection="1">
      <alignment horizontal="left" vertical="center"/>
      <protection locked="0"/>
    </xf>
    <xf numFmtId="0" fontId="2" fillId="10" borderId="15" xfId="0" applyFont="1" applyFill="1" applyBorder="1" applyAlignment="1" applyProtection="1">
      <alignment horizontal="left" vertical="center"/>
      <protection locked="0"/>
    </xf>
    <xf numFmtId="0" fontId="2" fillId="10" borderId="22" xfId="0" applyFont="1" applyFill="1" applyBorder="1" applyAlignment="1" applyProtection="1">
      <alignment horizontal="left" vertical="center"/>
      <protection locked="0"/>
    </xf>
    <xf numFmtId="167" fontId="2" fillId="10" borderId="14" xfId="0" applyNumberFormat="1" applyFont="1" applyFill="1" applyBorder="1" applyAlignment="1" applyProtection="1">
      <alignment horizontal="center"/>
      <protection locked="0"/>
    </xf>
    <xf numFmtId="167" fontId="2" fillId="10" borderId="14" xfId="0" applyNumberFormat="1" applyFont="1" applyFill="1" applyBorder="1" applyAlignment="1" applyProtection="1">
      <alignment horizontal="center"/>
      <protection locked="0"/>
    </xf>
    <xf numFmtId="43" fontId="3" fillId="0" borderId="15" xfId="42" applyFont="1" applyFill="1" applyBorder="1" applyAlignment="1" applyProtection="1">
      <alignment/>
      <protection/>
    </xf>
    <xf numFmtId="0" fontId="8" fillId="33" borderId="18"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0" fontId="3" fillId="33" borderId="18" xfId="66" applyFont="1" applyFill="1" applyBorder="1" applyAlignment="1" applyProtection="1">
      <alignment horizontal="center" vertical="top" wrapText="1"/>
      <protection/>
    </xf>
    <xf numFmtId="0" fontId="3" fillId="33" borderId="15" xfId="66" applyFont="1" applyFill="1" applyBorder="1" applyAlignment="1" applyProtection="1">
      <alignment horizontal="center" vertical="top" wrapText="1"/>
      <protection/>
    </xf>
    <xf numFmtId="0" fontId="3" fillId="33" borderId="16" xfId="66" applyFont="1" applyFill="1" applyBorder="1" applyAlignment="1" applyProtection="1">
      <alignment horizontal="center" vertical="top" wrapText="1"/>
      <protection/>
    </xf>
    <xf numFmtId="0" fontId="3" fillId="33" borderId="22" xfId="66"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43" fontId="3" fillId="0" borderId="15" xfId="42" applyFont="1" applyBorder="1" applyAlignment="1" applyProtection="1">
      <alignment/>
      <protection/>
    </xf>
    <xf numFmtId="43" fontId="3" fillId="0" borderId="22" xfId="42" applyFont="1" applyBorder="1" applyAlignment="1" applyProtection="1">
      <alignment/>
      <protection/>
    </xf>
    <xf numFmtId="0" fontId="3" fillId="0" borderId="21" xfId="0" applyFont="1" applyFill="1" applyBorder="1" applyAlignment="1" applyProtection="1">
      <alignment horizontal="right"/>
      <protection/>
    </xf>
    <xf numFmtId="0" fontId="3" fillId="0" borderId="15" xfId="0" applyFont="1" applyFill="1" applyBorder="1" applyAlignment="1" applyProtection="1">
      <alignment horizontal="right"/>
      <protection/>
    </xf>
    <xf numFmtId="0" fontId="3" fillId="0" borderId="22" xfId="0" applyFont="1" applyFill="1" applyBorder="1" applyAlignment="1" applyProtection="1">
      <alignment horizontal="right"/>
      <protection/>
    </xf>
    <xf numFmtId="43" fontId="3" fillId="10" borderId="27" xfId="42" applyFont="1" applyFill="1" applyBorder="1" applyAlignment="1" applyProtection="1">
      <alignment horizontal="center"/>
      <protection locked="0"/>
    </xf>
    <xf numFmtId="0" fontId="8" fillId="0" borderId="19" xfId="0" applyFont="1" applyFill="1" applyBorder="1" applyAlignment="1" applyProtection="1">
      <alignment horizontal="right" vertical="center"/>
      <protection/>
    </xf>
    <xf numFmtId="0" fontId="8" fillId="0" borderId="21" xfId="0"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16"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19" fillId="10" borderId="19" xfId="0" applyFont="1" applyFill="1" applyBorder="1" applyAlignment="1" applyProtection="1">
      <alignment horizontal="center" vertical="center"/>
      <protection locked="0"/>
    </xf>
    <xf numFmtId="0" fontId="19" fillId="10" borderId="21" xfId="0" applyFont="1" applyFill="1" applyBorder="1" applyAlignment="1" applyProtection="1">
      <alignment horizontal="center" vertical="center"/>
      <protection locked="0"/>
    </xf>
    <xf numFmtId="0" fontId="19" fillId="10" borderId="23" xfId="0" applyFont="1" applyFill="1" applyBorder="1" applyAlignment="1" applyProtection="1">
      <alignment horizontal="center" vertical="center"/>
      <protection locked="0"/>
    </xf>
    <xf numFmtId="0" fontId="19" fillId="10" borderId="10" xfId="0" applyFont="1" applyFill="1" applyBorder="1" applyAlignment="1" applyProtection="1">
      <alignment horizontal="center" vertical="center"/>
      <protection locked="0"/>
    </xf>
    <xf numFmtId="0" fontId="19" fillId="10" borderId="16" xfId="0" applyFont="1" applyFill="1" applyBorder="1" applyAlignment="1" applyProtection="1">
      <alignment horizontal="center" vertical="center"/>
      <protection locked="0"/>
    </xf>
    <xf numFmtId="0" fontId="19" fillId="10" borderId="13"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protection/>
    </xf>
    <xf numFmtId="0" fontId="8" fillId="0" borderId="10"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8" fillId="33" borderId="19" xfId="0" applyFont="1" applyFill="1" applyBorder="1" applyAlignment="1" applyProtection="1">
      <alignment horizontal="center"/>
      <protection/>
    </xf>
    <xf numFmtId="0" fontId="3" fillId="33" borderId="2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15" fillId="33" borderId="19" xfId="0" applyFont="1" applyFill="1" applyBorder="1" applyAlignment="1" applyProtection="1">
      <alignment vertical="top"/>
      <protection/>
    </xf>
    <xf numFmtId="0" fontId="15" fillId="33" borderId="21" xfId="0" applyFont="1" applyFill="1" applyBorder="1" applyAlignment="1" applyProtection="1">
      <alignment vertical="top"/>
      <protection/>
    </xf>
    <xf numFmtId="0" fontId="15" fillId="33" borderId="23" xfId="0" applyFont="1" applyFill="1" applyBorder="1" applyAlignment="1" applyProtection="1">
      <alignment vertical="top"/>
      <protection/>
    </xf>
    <xf numFmtId="0" fontId="0" fillId="35" borderId="10" xfId="0" applyFont="1" applyFill="1" applyBorder="1" applyAlignment="1" applyProtection="1">
      <alignment horizontal="center" vertical="top" wrapText="1"/>
      <protection locked="0"/>
    </xf>
    <xf numFmtId="0" fontId="3" fillId="0" borderId="15" xfId="0" applyFont="1" applyFill="1" applyBorder="1" applyAlignment="1" applyProtection="1" quotePrefix="1">
      <alignment horizontal="center"/>
      <protection/>
    </xf>
    <xf numFmtId="0" fontId="3" fillId="0" borderId="22" xfId="0" applyFont="1" applyFill="1" applyBorder="1" applyAlignment="1" applyProtection="1" quotePrefix="1">
      <alignment horizontal="center"/>
      <protection/>
    </xf>
    <xf numFmtId="49" fontId="8" fillId="0" borderId="18" xfId="0" applyNumberFormat="1" applyFont="1" applyFill="1" applyBorder="1" applyAlignment="1" applyProtection="1">
      <alignment horizontal="right" vertical="center"/>
      <protection/>
    </xf>
    <xf numFmtId="49" fontId="8" fillId="0" borderId="15" xfId="0" applyNumberFormat="1" applyFont="1" applyFill="1" applyBorder="1" applyAlignment="1" applyProtection="1">
      <alignment horizontal="right" vertical="center"/>
      <protection/>
    </xf>
    <xf numFmtId="49" fontId="8" fillId="0" borderId="22" xfId="0" applyNumberFormat="1" applyFont="1" applyFill="1" applyBorder="1" applyAlignment="1" applyProtection="1">
      <alignment horizontal="right" vertical="center"/>
      <protection/>
    </xf>
    <xf numFmtId="164" fontId="0" fillId="10" borderId="18" xfId="0" applyNumberFormat="1" applyFill="1" applyBorder="1" applyAlignment="1" applyProtection="1">
      <alignment horizontal="center" vertical="center"/>
      <protection locked="0"/>
    </xf>
    <xf numFmtId="164" fontId="0" fillId="10" borderId="15" xfId="0" applyNumberFormat="1" applyFill="1" applyBorder="1" applyAlignment="1" applyProtection="1" quotePrefix="1">
      <alignment horizontal="center" vertical="center"/>
      <protection locked="0"/>
    </xf>
    <xf numFmtId="164" fontId="0" fillId="10" borderId="15" xfId="0" applyNumberFormat="1" applyFont="1" applyFill="1" applyBorder="1" applyAlignment="1" applyProtection="1">
      <alignment horizontal="center" vertical="center"/>
      <protection locked="0"/>
    </xf>
    <xf numFmtId="43" fontId="3" fillId="33" borderId="25" xfId="42" applyFont="1" applyFill="1" applyBorder="1" applyAlignment="1" applyProtection="1">
      <alignment/>
      <protection/>
    </xf>
    <xf numFmtId="43" fontId="3" fillId="0" borderId="14" xfId="0" applyNumberFormat="1" applyFont="1" applyBorder="1" applyAlignment="1" applyProtection="1">
      <alignment/>
      <protection/>
    </xf>
    <xf numFmtId="0" fontId="3" fillId="0" borderId="14" xfId="0" applyFont="1" applyBorder="1" applyAlignment="1" applyProtection="1">
      <alignment/>
      <protection/>
    </xf>
    <xf numFmtId="43" fontId="3" fillId="10" borderId="18" xfId="42" applyFont="1" applyFill="1" applyBorder="1" applyAlignment="1" applyProtection="1">
      <alignment/>
      <protection locked="0"/>
    </xf>
    <xf numFmtId="43" fontId="3" fillId="10" borderId="15" xfId="42" applyFont="1" applyFill="1" applyBorder="1" applyAlignment="1" applyProtection="1">
      <alignment/>
      <protection locked="0"/>
    </xf>
    <xf numFmtId="43" fontId="3" fillId="10" borderId="22" xfId="42" applyFont="1" applyFill="1" applyBorder="1" applyAlignment="1" applyProtection="1">
      <alignment/>
      <protection locked="0"/>
    </xf>
    <xf numFmtId="0" fontId="7" fillId="33" borderId="0" xfId="55" applyFill="1" applyBorder="1" applyAlignment="1" applyProtection="1">
      <alignment horizontal="center"/>
      <protection/>
    </xf>
    <xf numFmtId="0" fontId="7" fillId="33" borderId="11" xfId="55" applyFill="1" applyBorder="1" applyAlignment="1" applyProtection="1">
      <alignment horizontal="center"/>
      <protection/>
    </xf>
    <xf numFmtId="43" fontId="3" fillId="0" borderId="26" xfId="42" applyFont="1" applyBorder="1" applyAlignment="1" applyProtection="1">
      <alignment/>
      <protection/>
    </xf>
    <xf numFmtId="179" fontId="3" fillId="10" borderId="18" xfId="42" applyNumberFormat="1" applyFont="1" applyFill="1" applyBorder="1" applyAlignment="1" applyProtection="1">
      <alignment horizontal="right"/>
      <protection locked="0"/>
    </xf>
    <xf numFmtId="179" fontId="3" fillId="10" borderId="15" xfId="42" applyNumberFormat="1" applyFont="1" applyFill="1" applyBorder="1" applyAlignment="1" applyProtection="1">
      <alignment horizontal="right"/>
      <protection locked="0"/>
    </xf>
    <xf numFmtId="179" fontId="3" fillId="10" borderId="22" xfId="42" applyNumberFormat="1" applyFont="1" applyFill="1" applyBorder="1" applyAlignment="1" applyProtection="1">
      <alignment horizontal="right"/>
      <protection locked="0"/>
    </xf>
    <xf numFmtId="0" fontId="9" fillId="0" borderId="16" xfId="0" applyFont="1" applyBorder="1" applyAlignment="1" applyProtection="1">
      <alignment horizontal="left"/>
      <protection/>
    </xf>
    <xf numFmtId="0" fontId="3" fillId="0" borderId="10" xfId="0" applyFont="1" applyFill="1" applyBorder="1" applyAlignment="1" applyProtection="1">
      <alignment horizontal="left"/>
      <protection/>
    </xf>
    <xf numFmtId="0" fontId="3" fillId="0" borderId="16" xfId="0" applyFont="1" applyFill="1" applyBorder="1" applyAlignment="1" applyProtection="1">
      <alignment horizontal="left"/>
      <protection/>
    </xf>
    <xf numFmtId="0" fontId="3" fillId="0" borderId="13" xfId="0" applyFont="1" applyFill="1" applyBorder="1" applyAlignment="1" applyProtection="1">
      <alignment horizontal="left"/>
      <protection/>
    </xf>
    <xf numFmtId="39" fontId="3" fillId="10" borderId="18" xfId="42" applyNumberFormat="1" applyFont="1" applyFill="1" applyBorder="1" applyAlignment="1" applyProtection="1">
      <alignment horizontal="right"/>
      <protection locked="0"/>
    </xf>
    <xf numFmtId="39" fontId="3" fillId="10" borderId="15" xfId="42" applyNumberFormat="1" applyFont="1" applyFill="1" applyBorder="1" applyAlignment="1" applyProtection="1">
      <alignment horizontal="right"/>
      <protection locked="0"/>
    </xf>
    <xf numFmtId="39" fontId="3" fillId="10" borderId="22" xfId="42" applyNumberFormat="1" applyFont="1" applyFill="1" applyBorder="1" applyAlignment="1" applyProtection="1">
      <alignment horizontal="right"/>
      <protection locked="0"/>
    </xf>
    <xf numFmtId="49" fontId="0" fillId="10" borderId="19" xfId="0" applyNumberFormat="1" applyFill="1" applyBorder="1" applyAlignment="1" applyProtection="1">
      <alignment horizontal="center" vertical="top" wrapText="1"/>
      <protection locked="0"/>
    </xf>
    <xf numFmtId="49" fontId="0" fillId="10" borderId="21" xfId="0" applyNumberFormat="1" applyFill="1" applyBorder="1" applyAlignment="1" applyProtection="1">
      <alignment horizontal="center" vertical="top" wrapText="1"/>
      <protection locked="0"/>
    </xf>
    <xf numFmtId="49" fontId="0" fillId="10" borderId="23" xfId="0" applyNumberFormat="1" applyFill="1" applyBorder="1" applyAlignment="1" applyProtection="1">
      <alignment horizontal="center" vertical="top" wrapText="1"/>
      <protection locked="0"/>
    </xf>
    <xf numFmtId="49" fontId="0" fillId="10" borderId="20" xfId="0" applyNumberFormat="1" applyFill="1" applyBorder="1" applyAlignment="1" applyProtection="1">
      <alignment horizontal="center" vertical="top" wrapText="1"/>
      <protection locked="0"/>
    </xf>
    <xf numFmtId="49" fontId="0" fillId="10" borderId="0" xfId="0" applyNumberFormat="1" applyFill="1" applyBorder="1" applyAlignment="1" applyProtection="1">
      <alignment horizontal="center" vertical="top" wrapText="1"/>
      <protection locked="0"/>
    </xf>
    <xf numFmtId="49" fontId="0" fillId="10" borderId="11" xfId="0" applyNumberFormat="1" applyFill="1" applyBorder="1" applyAlignment="1" applyProtection="1">
      <alignment horizontal="center" vertical="top" wrapText="1"/>
      <protection locked="0"/>
    </xf>
    <xf numFmtId="0" fontId="8" fillId="33" borderId="15" xfId="0" applyFont="1" applyFill="1" applyBorder="1" applyAlignment="1" applyProtection="1">
      <alignment horizontal="center"/>
      <protection/>
    </xf>
    <xf numFmtId="0" fontId="8" fillId="33" borderId="22" xfId="0" applyFont="1" applyFill="1" applyBorder="1" applyAlignment="1" applyProtection="1">
      <alignment horizontal="center"/>
      <protection/>
    </xf>
    <xf numFmtId="43" fontId="3" fillId="10" borderId="18" xfId="42" applyNumberFormat="1" applyFont="1" applyFill="1" applyBorder="1" applyAlignment="1" applyProtection="1">
      <alignment horizontal="center"/>
      <protection locked="0"/>
    </xf>
    <xf numFmtId="43" fontId="3" fillId="10" borderId="15" xfId="42" applyNumberFormat="1" applyFont="1" applyFill="1" applyBorder="1" applyAlignment="1" applyProtection="1">
      <alignment horizontal="center"/>
      <protection locked="0"/>
    </xf>
    <xf numFmtId="43" fontId="3" fillId="10" borderId="22" xfId="42" applyNumberFormat="1" applyFont="1" applyFill="1" applyBorder="1" applyAlignment="1" applyProtection="1">
      <alignment horizontal="center"/>
      <protection locked="0"/>
    </xf>
    <xf numFmtId="43" fontId="3" fillId="0" borderId="26" xfId="42" applyFont="1" applyBorder="1" applyAlignment="1" applyProtection="1">
      <alignment horizontal="center"/>
      <protection/>
    </xf>
    <xf numFmtId="43" fontId="3" fillId="0" borderId="15" xfId="42" applyFont="1" applyBorder="1" applyAlignment="1" applyProtection="1">
      <alignment horizontal="center"/>
      <protection/>
    </xf>
    <xf numFmtId="43" fontId="3" fillId="0" borderId="22" xfId="42" applyFont="1" applyBorder="1" applyAlignment="1" applyProtection="1">
      <alignment horizontal="center"/>
      <protection/>
    </xf>
    <xf numFmtId="0" fontId="8" fillId="33" borderId="18" xfId="0" applyFont="1" applyFill="1" applyBorder="1" applyAlignment="1" applyProtection="1">
      <alignment horizontal="left"/>
      <protection/>
    </xf>
    <xf numFmtId="0" fontId="3" fillId="33" borderId="15" xfId="0" applyFont="1" applyFill="1" applyBorder="1" applyAlignment="1" applyProtection="1">
      <alignment horizontal="left"/>
      <protection/>
    </xf>
    <xf numFmtId="0" fontId="3" fillId="33" borderId="22" xfId="0" applyFont="1" applyFill="1" applyBorder="1" applyAlignment="1" applyProtection="1">
      <alignment horizontal="left"/>
      <protection/>
    </xf>
    <xf numFmtId="43" fontId="3" fillId="36" borderId="15" xfId="42" applyNumberFormat="1" applyFont="1" applyFill="1" applyBorder="1" applyAlignment="1" applyProtection="1">
      <alignment horizontal="center"/>
      <protection/>
    </xf>
    <xf numFmtId="43" fontId="3" fillId="36" borderId="22" xfId="42" applyNumberFormat="1" applyFont="1" applyFill="1" applyBorder="1" applyAlignment="1" applyProtection="1">
      <alignment horizontal="center"/>
      <protection/>
    </xf>
    <xf numFmtId="0" fontId="8" fillId="33" borderId="19" xfId="0" applyFont="1" applyFill="1" applyBorder="1" applyAlignment="1" applyProtection="1">
      <alignment horizontal="center" vertical="top" wrapText="1"/>
      <protection/>
    </xf>
    <xf numFmtId="0" fontId="8" fillId="33" borderId="21" xfId="0" applyFont="1" applyFill="1" applyBorder="1" applyAlignment="1" applyProtection="1">
      <alignment horizontal="center" vertical="top" wrapText="1"/>
      <protection/>
    </xf>
    <xf numFmtId="0" fontId="8" fillId="33" borderId="23" xfId="0" applyFont="1" applyFill="1" applyBorder="1" applyAlignment="1" applyProtection="1">
      <alignment horizontal="center" vertical="top" wrapText="1"/>
      <protection/>
    </xf>
    <xf numFmtId="0" fontId="8" fillId="33" borderId="10" xfId="0" applyFont="1" applyFill="1" applyBorder="1" applyAlignment="1" applyProtection="1">
      <alignment horizontal="center" vertical="top" wrapText="1"/>
      <protection/>
    </xf>
    <xf numFmtId="0" fontId="8" fillId="33" borderId="16" xfId="0" applyFont="1" applyFill="1" applyBorder="1" applyAlignment="1" applyProtection="1">
      <alignment horizontal="center" vertical="top" wrapText="1"/>
      <protection/>
    </xf>
    <xf numFmtId="0" fontId="8" fillId="33" borderId="13" xfId="0" applyFont="1" applyFill="1" applyBorder="1" applyAlignment="1" applyProtection="1">
      <alignment horizontal="center" vertical="top" wrapText="1"/>
      <protection/>
    </xf>
    <xf numFmtId="43" fontId="3" fillId="36" borderId="18" xfId="42" applyFont="1" applyFill="1" applyBorder="1" applyAlignment="1" applyProtection="1">
      <alignment horizontal="center"/>
      <protection/>
    </xf>
    <xf numFmtId="43" fontId="3" fillId="0" borderId="18" xfId="42" applyFont="1" applyBorder="1" applyAlignment="1" applyProtection="1">
      <alignment horizontal="center"/>
      <protection/>
    </xf>
    <xf numFmtId="0" fontId="3" fillId="40" borderId="20" xfId="0" applyFont="1" applyFill="1" applyBorder="1" applyAlignment="1" applyProtection="1">
      <alignment horizontal="center"/>
      <protection/>
    </xf>
    <xf numFmtId="0" fontId="3" fillId="40" borderId="0" xfId="0" applyFont="1" applyFill="1" applyBorder="1" applyAlignment="1" applyProtection="1">
      <alignment horizontal="center"/>
      <protection/>
    </xf>
    <xf numFmtId="0" fontId="3" fillId="40" borderId="11" xfId="0" applyFont="1" applyFill="1" applyBorder="1" applyAlignment="1" applyProtection="1">
      <alignment horizontal="center"/>
      <protection/>
    </xf>
    <xf numFmtId="0" fontId="8" fillId="33" borderId="24" xfId="0" applyFont="1" applyFill="1" applyBorder="1" applyAlignment="1" applyProtection="1">
      <alignment horizontal="center"/>
      <protection/>
    </xf>
    <xf numFmtId="14" fontId="8" fillId="40" borderId="14" xfId="0" applyNumberFormat="1" applyFont="1" applyFill="1" applyBorder="1" applyAlignment="1" applyProtection="1">
      <alignment horizontal="right" vertical="center"/>
      <protection/>
    </xf>
    <xf numFmtId="14" fontId="3" fillId="40" borderId="14" xfId="0" applyNumberFormat="1" applyFont="1" applyFill="1" applyBorder="1" applyAlignment="1" applyProtection="1">
      <alignment horizontal="right" vertical="center"/>
      <protection/>
    </xf>
    <xf numFmtId="164" fontId="0" fillId="40" borderId="14" xfId="0" applyNumberFormat="1" applyFont="1" applyFill="1" applyBorder="1" applyAlignment="1" applyProtection="1">
      <alignment horizontal="center" vertical="center"/>
      <protection/>
    </xf>
    <xf numFmtId="0" fontId="0" fillId="35" borderId="10" xfId="0" applyFont="1" applyFill="1" applyBorder="1" applyAlignment="1" applyProtection="1">
      <alignment horizontal="center" vertical="top" wrapText="1"/>
      <protection/>
    </xf>
    <xf numFmtId="0" fontId="0" fillId="35" borderId="16" xfId="0" applyFont="1" applyFill="1" applyBorder="1" applyAlignment="1" applyProtection="1">
      <alignment horizontal="center" vertical="top" wrapText="1"/>
      <protection/>
    </xf>
    <xf numFmtId="164" fontId="0" fillId="0" borderId="24" xfId="0" applyNumberFormat="1" applyFont="1" applyFill="1" applyBorder="1" applyAlignment="1" applyProtection="1">
      <alignment horizontal="center"/>
      <protection/>
    </xf>
    <xf numFmtId="49" fontId="0" fillId="0" borderId="19" xfId="0" applyNumberFormat="1" applyFill="1" applyBorder="1" applyAlignment="1" applyProtection="1">
      <alignment horizontal="left" vertical="top" wrapText="1"/>
      <protection/>
    </xf>
    <xf numFmtId="0" fontId="0" fillId="0" borderId="21" xfId="0" applyNumberFormat="1" applyFont="1" applyFill="1" applyBorder="1" applyAlignment="1" applyProtection="1">
      <alignment horizontal="left" vertical="top" wrapText="1"/>
      <protection/>
    </xf>
    <xf numFmtId="0" fontId="0" fillId="0" borderId="23" xfId="0" applyNumberFormat="1" applyFont="1" applyFill="1" applyBorder="1" applyAlignment="1" applyProtection="1">
      <alignment horizontal="left" vertical="top" wrapText="1"/>
      <protection/>
    </xf>
    <xf numFmtId="0" fontId="0" fillId="0" borderId="2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43" fontId="3" fillId="39" borderId="28" xfId="42" applyFont="1" applyFill="1" applyBorder="1" applyAlignment="1" applyProtection="1">
      <alignment/>
      <protection locked="0"/>
    </xf>
    <xf numFmtId="43" fontId="3" fillId="10" borderId="28" xfId="42" applyFont="1" applyFill="1" applyBorder="1" applyAlignment="1" applyProtection="1">
      <alignment/>
      <protection locked="0"/>
    </xf>
    <xf numFmtId="43" fontId="3" fillId="0" borderId="18" xfId="42" applyFont="1" applyFill="1" applyBorder="1" applyAlignment="1" applyProtection="1">
      <alignment/>
      <protection/>
    </xf>
    <xf numFmtId="43" fontId="3" fillId="0" borderId="22" xfId="42" applyFont="1" applyFill="1" applyBorder="1" applyAlignment="1" applyProtection="1">
      <alignment/>
      <protection/>
    </xf>
    <xf numFmtId="43" fontId="3" fillId="10" borderId="27" xfId="42" applyFont="1" applyFill="1" applyBorder="1" applyAlignment="1" applyProtection="1">
      <alignment horizontal="right"/>
      <protection locked="0"/>
    </xf>
    <xf numFmtId="0" fontId="8" fillId="33" borderId="15" xfId="0" applyFont="1" applyFill="1" applyBorder="1" applyAlignment="1" applyProtection="1">
      <alignment horizontal="left"/>
      <protection/>
    </xf>
    <xf numFmtId="0" fontId="8" fillId="33" borderId="22" xfId="0" applyFont="1" applyFill="1" applyBorder="1" applyAlignment="1" applyProtection="1">
      <alignment horizontal="left"/>
      <protection/>
    </xf>
    <xf numFmtId="43" fontId="3" fillId="35" borderId="14" xfId="42" applyFont="1" applyFill="1" applyBorder="1" applyAlignment="1" applyProtection="1">
      <alignment/>
      <protection/>
    </xf>
    <xf numFmtId="43" fontId="3" fillId="10" borderId="29" xfId="42" applyFont="1" applyFill="1" applyBorder="1" applyAlignment="1" applyProtection="1">
      <alignment/>
      <protection locked="0"/>
    </xf>
    <xf numFmtId="0" fontId="9" fillId="0" borderId="0" xfId="0" applyFont="1" applyAlignment="1" applyProtection="1">
      <alignment horizontal="center"/>
      <protection/>
    </xf>
    <xf numFmtId="2" fontId="3" fillId="10" borderId="27" xfId="42" applyNumberFormat="1" applyFont="1" applyFill="1" applyBorder="1" applyAlignment="1" applyProtection="1">
      <alignment horizontal="center"/>
      <protection locked="0"/>
    </xf>
    <xf numFmtId="43" fontId="3" fillId="0" borderId="28" xfId="42" applyFont="1" applyBorder="1" applyAlignment="1" applyProtection="1">
      <alignment/>
      <protection/>
    </xf>
    <xf numFmtId="0" fontId="0" fillId="33" borderId="10" xfId="42" applyNumberFormat="1" applyFont="1" applyFill="1" applyBorder="1" applyAlignment="1" applyProtection="1">
      <alignment horizontal="center"/>
      <protection/>
    </xf>
    <xf numFmtId="0" fontId="0" fillId="33" borderId="16" xfId="42" applyNumberFormat="1" applyFont="1" applyFill="1" applyBorder="1" applyAlignment="1" applyProtection="1">
      <alignment horizontal="center"/>
      <protection/>
    </xf>
    <xf numFmtId="0" fontId="0" fillId="33" borderId="13" xfId="42" applyNumberFormat="1" applyFont="1" applyFill="1" applyBorder="1" applyAlignment="1" applyProtection="1">
      <alignment horizontal="center"/>
      <protection/>
    </xf>
    <xf numFmtId="168" fontId="0" fillId="33" borderId="15" xfId="42" applyNumberFormat="1" applyFont="1" applyFill="1" applyBorder="1" applyAlignment="1" applyProtection="1">
      <alignment horizontal="center"/>
      <protection hidden="1"/>
    </xf>
    <xf numFmtId="0" fontId="3" fillId="0" borderId="18" xfId="42" applyNumberFormat="1" applyFont="1" applyFill="1" applyBorder="1" applyAlignment="1" applyProtection="1">
      <alignment horizontal="right"/>
      <protection/>
    </xf>
    <xf numFmtId="0" fontId="0" fillId="0" borderId="15" xfId="0" applyBorder="1" applyAlignment="1" applyProtection="1">
      <alignment horizontal="right"/>
      <protection/>
    </xf>
    <xf numFmtId="43" fontId="3" fillId="35" borderId="18" xfId="42" applyFont="1" applyFill="1" applyBorder="1" applyAlignment="1" applyProtection="1">
      <alignment horizontal="center"/>
      <protection/>
    </xf>
    <xf numFmtId="43" fontId="3" fillId="35" borderId="15" xfId="42" applyFont="1" applyFill="1" applyBorder="1" applyAlignment="1" applyProtection="1">
      <alignment horizontal="center"/>
      <protection/>
    </xf>
    <xf numFmtId="43" fontId="3" fillId="35" borderId="22" xfId="42" applyFont="1" applyFill="1" applyBorder="1" applyAlignment="1" applyProtection="1">
      <alignment horizontal="center"/>
      <protection/>
    </xf>
    <xf numFmtId="43" fontId="4" fillId="0" borderId="18" xfId="42" applyFont="1" applyBorder="1" applyAlignment="1" applyProtection="1" quotePrefix="1">
      <alignment horizontal="center"/>
      <protection/>
    </xf>
    <xf numFmtId="43" fontId="16" fillId="0" borderId="27" xfId="42" applyFont="1" applyBorder="1" applyAlignment="1" applyProtection="1">
      <alignment horizontal="center"/>
      <protection/>
    </xf>
    <xf numFmtId="0" fontId="3" fillId="10" borderId="19" xfId="66" applyFont="1" applyFill="1" applyBorder="1" applyAlignment="1" applyProtection="1">
      <alignment horizontal="left" vertical="top" wrapText="1" indent="1"/>
      <protection locked="0"/>
    </xf>
    <xf numFmtId="0" fontId="3" fillId="10" borderId="21" xfId="66" applyFont="1" applyFill="1" applyBorder="1" applyAlignment="1" applyProtection="1">
      <alignment horizontal="left" vertical="top" wrapText="1" indent="1"/>
      <protection locked="0"/>
    </xf>
    <xf numFmtId="0" fontId="3" fillId="10" borderId="23" xfId="66" applyFont="1" applyFill="1" applyBorder="1" applyAlignment="1" applyProtection="1">
      <alignment horizontal="left" vertical="top" wrapText="1" indent="1"/>
      <protection locked="0"/>
    </xf>
    <xf numFmtId="0" fontId="3" fillId="10" borderId="10" xfId="66" applyFont="1" applyFill="1" applyBorder="1" applyAlignment="1" applyProtection="1">
      <alignment horizontal="left" vertical="top" wrapText="1" indent="1"/>
      <protection locked="0"/>
    </xf>
    <xf numFmtId="0" fontId="3" fillId="10" borderId="16" xfId="66" applyFont="1" applyFill="1" applyBorder="1" applyAlignment="1" applyProtection="1">
      <alignment horizontal="left" vertical="top" wrapText="1" indent="1"/>
      <protection locked="0"/>
    </xf>
    <xf numFmtId="0" fontId="3" fillId="10" borderId="13" xfId="66" applyFont="1" applyFill="1" applyBorder="1" applyAlignment="1" applyProtection="1">
      <alignment horizontal="left" vertical="top" wrapText="1" indent="1"/>
      <protection locked="0"/>
    </xf>
    <xf numFmtId="168" fontId="0" fillId="33" borderId="27" xfId="42" applyNumberFormat="1" applyFont="1" applyFill="1" applyBorder="1" applyAlignment="1" applyProtection="1">
      <alignment horizontal="center"/>
      <protection hidden="1"/>
    </xf>
    <xf numFmtId="167" fontId="3" fillId="0" borderId="14" xfId="0" applyNumberFormat="1" applyFont="1" applyFill="1" applyBorder="1" applyAlignment="1" applyProtection="1">
      <alignment horizontal="center"/>
      <protection/>
    </xf>
    <xf numFmtId="0" fontId="0" fillId="0" borderId="18" xfId="0" applyBorder="1" applyAlignment="1" applyProtection="1">
      <alignment horizontal="left"/>
      <protection/>
    </xf>
    <xf numFmtId="0" fontId="0" fillId="0" borderId="15" xfId="0" applyBorder="1" applyAlignment="1" applyProtection="1">
      <alignment horizontal="left"/>
      <protection/>
    </xf>
    <xf numFmtId="0" fontId="0" fillId="0" borderId="22" xfId="0" applyBorder="1" applyAlignment="1" applyProtection="1">
      <alignment horizontal="left"/>
      <protection/>
    </xf>
    <xf numFmtId="0" fontId="8" fillId="0" borderId="0" xfId="0" applyFont="1" applyFill="1" applyBorder="1" applyAlignment="1" applyProtection="1">
      <alignment horizontal="right"/>
      <protection locked="0"/>
    </xf>
    <xf numFmtId="0" fontId="0" fillId="0" borderId="0" xfId="0" applyBorder="1" applyAlignment="1" applyProtection="1">
      <alignment/>
      <protection locked="0"/>
    </xf>
    <xf numFmtId="0" fontId="8" fillId="0" borderId="14" xfId="0" applyFont="1" applyBorder="1" applyAlignment="1" applyProtection="1">
      <alignment horizontal="center"/>
      <protection/>
    </xf>
    <xf numFmtId="0" fontId="2" fillId="0" borderId="14" xfId="0" applyFont="1" applyFill="1" applyBorder="1" applyAlignment="1" applyProtection="1">
      <alignment horizontal="center"/>
      <protection/>
    </xf>
    <xf numFmtId="0" fontId="19" fillId="0" borderId="19"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33" borderId="15"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3" fillId="0" borderId="18" xfId="0" applyFont="1" applyFill="1" applyBorder="1" applyAlignment="1" applyProtection="1">
      <alignment horizontal="left" vertical="center" indent="1"/>
      <protection/>
    </xf>
    <xf numFmtId="0" fontId="3" fillId="0" borderId="15" xfId="0" applyFont="1" applyFill="1" applyBorder="1" applyAlignment="1" applyProtection="1">
      <alignment horizontal="left" vertical="center" indent="1"/>
      <protection/>
    </xf>
    <xf numFmtId="0" fontId="3" fillId="0" borderId="22" xfId="0" applyFont="1" applyFill="1" applyBorder="1" applyAlignment="1" applyProtection="1">
      <alignment horizontal="left" vertical="center" indent="1"/>
      <protection/>
    </xf>
    <xf numFmtId="0" fontId="2" fillId="0" borderId="18"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indent="1"/>
      <protection/>
    </xf>
    <xf numFmtId="0" fontId="2" fillId="0" borderId="22" xfId="0" applyFont="1" applyFill="1" applyBorder="1" applyAlignment="1" applyProtection="1">
      <alignment horizontal="left" vertical="center" indent="1"/>
      <protection/>
    </xf>
    <xf numFmtId="0" fontId="8" fillId="0" borderId="19"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43" fontId="3" fillId="35" borderId="28" xfId="42" applyFont="1" applyFill="1" applyBorder="1" applyAlignment="1" applyProtection="1">
      <alignment/>
      <protection/>
    </xf>
    <xf numFmtId="0" fontId="3" fillId="39" borderId="18" xfId="0" applyFont="1" applyFill="1" applyBorder="1" applyAlignment="1" applyProtection="1">
      <alignment horizontal="center"/>
      <protection/>
    </xf>
    <xf numFmtId="0" fontId="3" fillId="39" borderId="15" xfId="0" applyFont="1" applyFill="1" applyBorder="1" applyAlignment="1" applyProtection="1">
      <alignment horizontal="center"/>
      <protection/>
    </xf>
    <xf numFmtId="0" fontId="3" fillId="39" borderId="22" xfId="0" applyFont="1" applyFill="1" applyBorder="1" applyAlignment="1" applyProtection="1">
      <alignment horizontal="center"/>
      <protection/>
    </xf>
    <xf numFmtId="43" fontId="3" fillId="0" borderId="14" xfId="42" applyFont="1" applyBorder="1" applyAlignment="1" applyProtection="1">
      <alignment/>
      <protection locked="0"/>
    </xf>
    <xf numFmtId="0" fontId="3" fillId="33" borderId="14" xfId="0" applyFont="1" applyFill="1" applyBorder="1" applyAlignment="1" applyProtection="1">
      <alignment horizontal="center"/>
      <protection locked="0"/>
    </xf>
    <xf numFmtId="0" fontId="8" fillId="41" borderId="14" xfId="64" applyFont="1" applyFill="1" applyBorder="1" applyAlignment="1" applyProtection="1">
      <alignment horizontal="left"/>
      <protection/>
    </xf>
    <xf numFmtId="0" fontId="7" fillId="0" borderId="0" xfId="55" applyAlignment="1" applyProtection="1">
      <alignment horizontal="center"/>
      <protection/>
    </xf>
    <xf numFmtId="0" fontId="69" fillId="0" borderId="0" xfId="56" applyAlignment="1" applyProtection="1">
      <alignment horizontal="center"/>
      <protection/>
    </xf>
    <xf numFmtId="0" fontId="3" fillId="0" borderId="0" xfId="64" applyFont="1" applyFill="1" applyBorder="1" applyAlignment="1" applyProtection="1">
      <alignment vertical="center" wrapText="1"/>
      <protection/>
    </xf>
    <xf numFmtId="0" fontId="3" fillId="0" borderId="0" xfId="64" applyFont="1" applyAlignment="1" applyProtection="1">
      <alignment vertical="center" wrapText="1"/>
      <protection/>
    </xf>
    <xf numFmtId="0" fontId="78" fillId="0" borderId="18" xfId="64" applyFont="1" applyBorder="1" applyAlignment="1" applyProtection="1">
      <alignment horizontal="center"/>
      <protection/>
    </xf>
    <xf numFmtId="0" fontId="78" fillId="0" borderId="15" xfId="64" applyFont="1" applyBorder="1" applyAlignment="1" applyProtection="1">
      <alignment horizontal="center"/>
      <protection/>
    </xf>
    <xf numFmtId="0" fontId="78" fillId="0" borderId="22" xfId="64" applyFont="1" applyBorder="1" applyAlignment="1" applyProtection="1">
      <alignment horizontal="center"/>
      <protection/>
    </xf>
    <xf numFmtId="0" fontId="88" fillId="0" borderId="0" xfId="64" applyFont="1" applyBorder="1" applyAlignment="1" applyProtection="1">
      <alignment/>
      <protection/>
    </xf>
    <xf numFmtId="0" fontId="89" fillId="0" borderId="0" xfId="64" applyFont="1" applyAlignment="1" applyProtection="1">
      <alignment/>
      <protection/>
    </xf>
    <xf numFmtId="0" fontId="90" fillId="0" borderId="0" xfId="64" applyFont="1" applyAlignment="1" applyProtection="1">
      <alignment/>
      <protection/>
    </xf>
    <xf numFmtId="175" fontId="2" fillId="0" borderId="16" xfId="64" applyNumberFormat="1" applyFont="1" applyBorder="1" applyAlignment="1" applyProtection="1">
      <alignment/>
      <protection/>
    </xf>
    <xf numFmtId="175" fontId="0" fillId="0" borderId="16" xfId="64" applyNumberFormat="1" applyFont="1" applyBorder="1" applyAlignment="1" applyProtection="1">
      <alignment horizontal="left"/>
      <protection/>
    </xf>
    <xf numFmtId="0" fontId="3" fillId="0" borderId="16" xfId="64" applyBorder="1" applyAlignment="1" applyProtection="1">
      <alignment horizontal="left"/>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3" xfId="62"/>
    <cellStyle name="Normal 3" xfId="63"/>
    <cellStyle name="Normal 4" xfId="64"/>
    <cellStyle name="Normal 4 2" xfId="65"/>
    <cellStyle name="Normal_Sheet1" xfId="66"/>
    <cellStyle name="Note" xfId="67"/>
    <cellStyle name="Output" xfId="68"/>
    <cellStyle name="Percent" xfId="69"/>
    <cellStyle name="Percent 2" xfId="70"/>
    <cellStyle name="Title" xfId="71"/>
    <cellStyle name="Total" xfId="72"/>
    <cellStyle name="Warning Text" xfId="73"/>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0</xdr:row>
      <xdr:rowOff>38100</xdr:rowOff>
    </xdr:from>
    <xdr:to>
      <xdr:col>39</xdr:col>
      <xdr:colOff>209550</xdr:colOff>
      <xdr:row>2</xdr:row>
      <xdr:rowOff>133350</xdr:rowOff>
    </xdr:to>
    <xdr:sp>
      <xdr:nvSpPr>
        <xdr:cNvPr id="1" name="AutoShape 9"/>
        <xdr:cNvSpPr>
          <a:spLocks/>
        </xdr:cNvSpPr>
      </xdr:nvSpPr>
      <xdr:spPr>
        <a:xfrm>
          <a:off x="7991475" y="38100"/>
          <a:ext cx="2190750" cy="457200"/>
        </a:xfrm>
        <a:prstGeom prst="flowChartProcess">
          <a:avLst/>
        </a:prstGeom>
        <a:noFill/>
        <a:ln w="3175" cmpd="sng">
          <a:solidFill>
            <a:srgbClr val="000000"/>
          </a:solidFill>
          <a:headEnd type="none"/>
          <a:tailEnd type="none"/>
        </a:ln>
      </xdr:spPr>
      <xdr:txBody>
        <a:bodyPr vertOverflow="clip" wrap="square" lIns="36576" tIns="36576" rIns="0" bIns="0"/>
        <a:p>
          <a:pPr algn="l">
            <a:defRPr/>
          </a:pPr>
          <a:r>
            <a:rPr lang="en-US" cap="none" sz="1800" b="0" i="0" u="none" baseline="0">
              <a:solidFill>
                <a:srgbClr val="000000"/>
              </a:solidFill>
            </a:rPr>
            <a:t> I</a:t>
          </a:r>
        </a:p>
      </xdr:txBody>
    </xdr:sp>
    <xdr:clientData/>
  </xdr:twoCellAnchor>
  <xdr:twoCellAnchor editAs="oneCell">
    <xdr:from>
      <xdr:col>18</xdr:col>
      <xdr:colOff>190500</xdr:colOff>
      <xdr:row>0</xdr:row>
      <xdr:rowOff>0</xdr:rowOff>
    </xdr:from>
    <xdr:to>
      <xdr:col>23</xdr:col>
      <xdr:colOff>76200</xdr:colOff>
      <xdr:row>3</xdr:row>
      <xdr:rowOff>28575</xdr:rowOff>
    </xdr:to>
    <xdr:pic>
      <xdr:nvPicPr>
        <xdr:cNvPr id="2" name="Picture 4" descr="\\shares\acctpay\Website\OU_Stacked_BlackGold Logo.jpg"/>
        <xdr:cNvPicPr preferRelativeResize="1">
          <a:picLocks noChangeAspect="1"/>
        </xdr:cNvPicPr>
      </xdr:nvPicPr>
      <xdr:blipFill>
        <a:blip r:embed="rId1"/>
        <a:stretch>
          <a:fillRect/>
        </a:stretch>
      </xdr:blipFill>
      <xdr:spPr>
        <a:xfrm>
          <a:off x="4648200" y="0"/>
          <a:ext cx="13430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18</xdr:row>
      <xdr:rowOff>180975</xdr:rowOff>
    </xdr:from>
    <xdr:to>
      <xdr:col>3</xdr:col>
      <xdr:colOff>352425</xdr:colOff>
      <xdr:row>20</xdr:row>
      <xdr:rowOff>19050</xdr:rowOff>
    </xdr:to>
    <xdr:grpSp>
      <xdr:nvGrpSpPr>
        <xdr:cNvPr id="1" name="Group 4972" hidden="1"/>
        <xdr:cNvGrpSpPr>
          <a:grpSpLocks/>
        </xdr:cNvGrpSpPr>
      </xdr:nvGrpSpPr>
      <xdr:grpSpPr>
        <a:xfrm>
          <a:off x="1295400" y="4829175"/>
          <a:ext cx="1590675" cy="219075"/>
          <a:chOff x="291" y="0"/>
          <a:chExt cx="2885793" cy="4676775"/>
        </a:xfrm>
        <a:solidFill>
          <a:srgbClr val="FFFFFF"/>
        </a:solidFill>
      </xdr:grpSpPr>
    </xdr:grpSp>
    <xdr:clientData/>
  </xdr:twoCellAnchor>
  <xdr:twoCellAnchor>
    <xdr:from>
      <xdr:col>1</xdr:col>
      <xdr:colOff>47625</xdr:colOff>
      <xdr:row>19</xdr:row>
      <xdr:rowOff>171450</xdr:rowOff>
    </xdr:from>
    <xdr:to>
      <xdr:col>3</xdr:col>
      <xdr:colOff>352425</xdr:colOff>
      <xdr:row>21</xdr:row>
      <xdr:rowOff>9525</xdr:rowOff>
    </xdr:to>
    <xdr:grpSp>
      <xdr:nvGrpSpPr>
        <xdr:cNvPr id="5" name="Group 4973" hidden="1"/>
        <xdr:cNvGrpSpPr>
          <a:grpSpLocks/>
        </xdr:cNvGrpSpPr>
      </xdr:nvGrpSpPr>
      <xdr:grpSpPr>
        <a:xfrm>
          <a:off x="1295400" y="5010150"/>
          <a:ext cx="1590675" cy="219075"/>
          <a:chOff x="291" y="0"/>
          <a:chExt cx="2885793" cy="4676775"/>
        </a:xfrm>
        <a:solidFill>
          <a:srgbClr val="FFFFFF"/>
        </a:solidFill>
      </xdr:grpSpPr>
    </xdr:grpSp>
    <xdr:clientData/>
  </xdr:twoCellAnchor>
  <xdr:twoCellAnchor>
    <xdr:from>
      <xdr:col>1</xdr:col>
      <xdr:colOff>47625</xdr:colOff>
      <xdr:row>20</xdr:row>
      <xdr:rowOff>180975</xdr:rowOff>
    </xdr:from>
    <xdr:to>
      <xdr:col>3</xdr:col>
      <xdr:colOff>352425</xdr:colOff>
      <xdr:row>22</xdr:row>
      <xdr:rowOff>19050</xdr:rowOff>
    </xdr:to>
    <xdr:grpSp>
      <xdr:nvGrpSpPr>
        <xdr:cNvPr id="9" name="Group 4974" hidden="1"/>
        <xdr:cNvGrpSpPr>
          <a:grpSpLocks/>
        </xdr:cNvGrpSpPr>
      </xdr:nvGrpSpPr>
      <xdr:grpSpPr>
        <a:xfrm>
          <a:off x="1295400" y="5210175"/>
          <a:ext cx="1590675" cy="219075"/>
          <a:chOff x="291" y="0"/>
          <a:chExt cx="2885793" cy="4676775"/>
        </a:xfrm>
        <a:solidFill>
          <a:srgbClr val="FFFFFF"/>
        </a:solidFill>
      </xdr:grpSpPr>
    </xdr:grpSp>
    <xdr:clientData/>
  </xdr:twoCellAnchor>
  <xdr:twoCellAnchor>
    <xdr:from>
      <xdr:col>1</xdr:col>
      <xdr:colOff>47625</xdr:colOff>
      <xdr:row>21</xdr:row>
      <xdr:rowOff>171450</xdr:rowOff>
    </xdr:from>
    <xdr:to>
      <xdr:col>3</xdr:col>
      <xdr:colOff>352425</xdr:colOff>
      <xdr:row>23</xdr:row>
      <xdr:rowOff>9525</xdr:rowOff>
    </xdr:to>
    <xdr:grpSp>
      <xdr:nvGrpSpPr>
        <xdr:cNvPr id="13" name="Group 4975" hidden="1"/>
        <xdr:cNvGrpSpPr>
          <a:grpSpLocks/>
        </xdr:cNvGrpSpPr>
      </xdr:nvGrpSpPr>
      <xdr:grpSpPr>
        <a:xfrm>
          <a:off x="1295400" y="5391150"/>
          <a:ext cx="1590675" cy="219075"/>
          <a:chOff x="291" y="0"/>
          <a:chExt cx="2885793" cy="4676775"/>
        </a:xfrm>
        <a:solidFill>
          <a:srgbClr val="FFFFFF"/>
        </a:solidFill>
      </xdr:grpSpPr>
    </xdr:grpSp>
    <xdr:clientData/>
  </xdr:twoCellAnchor>
  <xdr:twoCellAnchor>
    <xdr:from>
      <xdr:col>1</xdr:col>
      <xdr:colOff>57150</xdr:colOff>
      <xdr:row>22</xdr:row>
      <xdr:rowOff>171450</xdr:rowOff>
    </xdr:from>
    <xdr:to>
      <xdr:col>3</xdr:col>
      <xdr:colOff>361950</xdr:colOff>
      <xdr:row>24</xdr:row>
      <xdr:rowOff>9525</xdr:rowOff>
    </xdr:to>
    <xdr:grpSp>
      <xdr:nvGrpSpPr>
        <xdr:cNvPr id="17" name="Group 4976" hidden="1"/>
        <xdr:cNvGrpSpPr>
          <a:grpSpLocks/>
        </xdr:cNvGrpSpPr>
      </xdr:nvGrpSpPr>
      <xdr:grpSpPr>
        <a:xfrm>
          <a:off x="1304925" y="5581650"/>
          <a:ext cx="1590675" cy="219075"/>
          <a:chOff x="292" y="0"/>
          <a:chExt cx="2895316" cy="4676775"/>
        </a:xfrm>
        <a:solidFill>
          <a:srgbClr val="FFFFFF"/>
        </a:solidFill>
      </xdr:grpSpPr>
    </xdr:grpSp>
    <xdr:clientData/>
  </xdr:twoCellAnchor>
  <xdr:twoCellAnchor>
    <xdr:from>
      <xdr:col>1</xdr:col>
      <xdr:colOff>57150</xdr:colOff>
      <xdr:row>23</xdr:row>
      <xdr:rowOff>171450</xdr:rowOff>
    </xdr:from>
    <xdr:to>
      <xdr:col>3</xdr:col>
      <xdr:colOff>361950</xdr:colOff>
      <xdr:row>25</xdr:row>
      <xdr:rowOff>9525</xdr:rowOff>
    </xdr:to>
    <xdr:grpSp>
      <xdr:nvGrpSpPr>
        <xdr:cNvPr id="21" name="Group 4977" hidden="1"/>
        <xdr:cNvGrpSpPr>
          <a:grpSpLocks/>
        </xdr:cNvGrpSpPr>
      </xdr:nvGrpSpPr>
      <xdr:grpSpPr>
        <a:xfrm>
          <a:off x="1304925" y="5772150"/>
          <a:ext cx="1590675" cy="219075"/>
          <a:chOff x="292" y="0"/>
          <a:chExt cx="2895316" cy="4676775"/>
        </a:xfrm>
        <a:solidFill>
          <a:srgbClr val="FFFFFF"/>
        </a:solidFill>
      </xdr:grpSpPr>
    </xdr:grpSp>
    <xdr:clientData/>
  </xdr:twoCellAnchor>
  <xdr:twoCellAnchor>
    <xdr:from>
      <xdr:col>1</xdr:col>
      <xdr:colOff>57150</xdr:colOff>
      <xdr:row>24</xdr:row>
      <xdr:rowOff>171450</xdr:rowOff>
    </xdr:from>
    <xdr:to>
      <xdr:col>3</xdr:col>
      <xdr:colOff>361950</xdr:colOff>
      <xdr:row>26</xdr:row>
      <xdr:rowOff>9525</xdr:rowOff>
    </xdr:to>
    <xdr:grpSp>
      <xdr:nvGrpSpPr>
        <xdr:cNvPr id="25" name="Group 4979" hidden="1"/>
        <xdr:cNvGrpSpPr>
          <a:grpSpLocks/>
        </xdr:cNvGrpSpPr>
      </xdr:nvGrpSpPr>
      <xdr:grpSpPr>
        <a:xfrm>
          <a:off x="1304925" y="5962650"/>
          <a:ext cx="1590675" cy="219075"/>
          <a:chOff x="292" y="0"/>
          <a:chExt cx="2895316" cy="4676775"/>
        </a:xfrm>
        <a:solidFill>
          <a:srgbClr val="FFFFFF"/>
        </a:solidFill>
      </xdr:grpSpPr>
    </xdr:grpSp>
    <xdr:clientData/>
  </xdr:twoCellAnchor>
  <xdr:twoCellAnchor>
    <xdr:from>
      <xdr:col>1</xdr:col>
      <xdr:colOff>57150</xdr:colOff>
      <xdr:row>25</xdr:row>
      <xdr:rowOff>171450</xdr:rowOff>
    </xdr:from>
    <xdr:to>
      <xdr:col>3</xdr:col>
      <xdr:colOff>361950</xdr:colOff>
      <xdr:row>27</xdr:row>
      <xdr:rowOff>9525</xdr:rowOff>
    </xdr:to>
    <xdr:grpSp>
      <xdr:nvGrpSpPr>
        <xdr:cNvPr id="29" name="Group 4980" hidden="1"/>
        <xdr:cNvGrpSpPr>
          <a:grpSpLocks/>
        </xdr:cNvGrpSpPr>
      </xdr:nvGrpSpPr>
      <xdr:grpSpPr>
        <a:xfrm>
          <a:off x="1304925" y="6153150"/>
          <a:ext cx="1590675" cy="219075"/>
          <a:chOff x="292" y="0"/>
          <a:chExt cx="2895316" cy="4676775"/>
        </a:xfrm>
        <a:solidFill>
          <a:srgbClr val="FFFFFF"/>
        </a:solidFill>
      </xdr:grpSpPr>
    </xdr:grpSp>
    <xdr:clientData/>
  </xdr:twoCellAnchor>
  <xdr:twoCellAnchor>
    <xdr:from>
      <xdr:col>1</xdr:col>
      <xdr:colOff>57150</xdr:colOff>
      <xdr:row>26</xdr:row>
      <xdr:rowOff>161925</xdr:rowOff>
    </xdr:from>
    <xdr:to>
      <xdr:col>3</xdr:col>
      <xdr:colOff>361950</xdr:colOff>
      <xdr:row>28</xdr:row>
      <xdr:rowOff>0</xdr:rowOff>
    </xdr:to>
    <xdr:grpSp>
      <xdr:nvGrpSpPr>
        <xdr:cNvPr id="33" name="Group 4981" hidden="1"/>
        <xdr:cNvGrpSpPr>
          <a:grpSpLocks/>
        </xdr:cNvGrpSpPr>
      </xdr:nvGrpSpPr>
      <xdr:grpSpPr>
        <a:xfrm>
          <a:off x="1304925" y="6334125"/>
          <a:ext cx="1590675" cy="219075"/>
          <a:chOff x="292" y="0"/>
          <a:chExt cx="2895316" cy="4676775"/>
        </a:xfrm>
        <a:solidFill>
          <a:srgbClr val="FFFFFF"/>
        </a:solidFill>
      </xdr:grpSpPr>
    </xdr:grpSp>
    <xdr:clientData/>
  </xdr:twoCellAnchor>
  <xdr:twoCellAnchor>
    <xdr:from>
      <xdr:col>1</xdr:col>
      <xdr:colOff>57150</xdr:colOff>
      <xdr:row>27</xdr:row>
      <xdr:rowOff>161925</xdr:rowOff>
    </xdr:from>
    <xdr:to>
      <xdr:col>3</xdr:col>
      <xdr:colOff>361950</xdr:colOff>
      <xdr:row>29</xdr:row>
      <xdr:rowOff>0</xdr:rowOff>
    </xdr:to>
    <xdr:grpSp>
      <xdr:nvGrpSpPr>
        <xdr:cNvPr id="37" name="Group 4982" hidden="1"/>
        <xdr:cNvGrpSpPr>
          <a:grpSpLocks/>
        </xdr:cNvGrpSpPr>
      </xdr:nvGrpSpPr>
      <xdr:grpSpPr>
        <a:xfrm>
          <a:off x="1304925" y="6524625"/>
          <a:ext cx="1590675" cy="219075"/>
          <a:chOff x="292" y="0"/>
          <a:chExt cx="2895316" cy="4676775"/>
        </a:xfrm>
        <a:solidFill>
          <a:srgbClr val="FFFFFF"/>
        </a:solidFill>
      </xdr:grpSpPr>
    </xdr:grpSp>
    <xdr:clientData/>
  </xdr:twoCellAnchor>
  <xdr:twoCellAnchor>
    <xdr:from>
      <xdr:col>1</xdr:col>
      <xdr:colOff>57150</xdr:colOff>
      <xdr:row>28</xdr:row>
      <xdr:rowOff>161925</xdr:rowOff>
    </xdr:from>
    <xdr:to>
      <xdr:col>3</xdr:col>
      <xdr:colOff>361950</xdr:colOff>
      <xdr:row>30</xdr:row>
      <xdr:rowOff>0</xdr:rowOff>
    </xdr:to>
    <xdr:grpSp>
      <xdr:nvGrpSpPr>
        <xdr:cNvPr id="41" name="Group 4983" hidden="1"/>
        <xdr:cNvGrpSpPr>
          <a:grpSpLocks/>
        </xdr:cNvGrpSpPr>
      </xdr:nvGrpSpPr>
      <xdr:grpSpPr>
        <a:xfrm>
          <a:off x="1304925" y="6715125"/>
          <a:ext cx="1590675" cy="219075"/>
          <a:chOff x="292" y="0"/>
          <a:chExt cx="2895316" cy="4676775"/>
        </a:xfrm>
        <a:solidFill>
          <a:srgbClr val="FFFFFF"/>
        </a:solidFill>
      </xdr:grpSpPr>
    </xdr:grpSp>
    <xdr:clientData/>
  </xdr:twoCellAnchor>
  <xdr:twoCellAnchor>
    <xdr:from>
      <xdr:col>1</xdr:col>
      <xdr:colOff>57150</xdr:colOff>
      <xdr:row>29</xdr:row>
      <xdr:rowOff>161925</xdr:rowOff>
    </xdr:from>
    <xdr:to>
      <xdr:col>3</xdr:col>
      <xdr:colOff>361950</xdr:colOff>
      <xdr:row>31</xdr:row>
      <xdr:rowOff>0</xdr:rowOff>
    </xdr:to>
    <xdr:grpSp>
      <xdr:nvGrpSpPr>
        <xdr:cNvPr id="45" name="Group 4984" hidden="1"/>
        <xdr:cNvGrpSpPr>
          <a:grpSpLocks/>
        </xdr:cNvGrpSpPr>
      </xdr:nvGrpSpPr>
      <xdr:grpSpPr>
        <a:xfrm>
          <a:off x="1304925" y="6905625"/>
          <a:ext cx="1590675" cy="219075"/>
          <a:chOff x="292" y="0"/>
          <a:chExt cx="2895316" cy="4676775"/>
        </a:xfrm>
        <a:solidFill>
          <a:srgbClr val="FFFFFF"/>
        </a:solidFill>
      </xdr:grpSpPr>
    </xdr:grpSp>
    <xdr:clientData/>
  </xdr:twoCellAnchor>
  <xdr:twoCellAnchor>
    <xdr:from>
      <xdr:col>1</xdr:col>
      <xdr:colOff>57150</xdr:colOff>
      <xdr:row>30</xdr:row>
      <xdr:rowOff>161925</xdr:rowOff>
    </xdr:from>
    <xdr:to>
      <xdr:col>3</xdr:col>
      <xdr:colOff>361950</xdr:colOff>
      <xdr:row>32</xdr:row>
      <xdr:rowOff>0</xdr:rowOff>
    </xdr:to>
    <xdr:grpSp>
      <xdr:nvGrpSpPr>
        <xdr:cNvPr id="49" name="Group 4985" hidden="1"/>
        <xdr:cNvGrpSpPr>
          <a:grpSpLocks/>
        </xdr:cNvGrpSpPr>
      </xdr:nvGrpSpPr>
      <xdr:grpSpPr>
        <a:xfrm>
          <a:off x="1304925" y="7096125"/>
          <a:ext cx="1590675" cy="219075"/>
          <a:chOff x="291" y="0"/>
          <a:chExt cx="2895317" cy="6962775"/>
        </a:xfrm>
        <a:solidFill>
          <a:srgbClr val="FFFFFF"/>
        </a:solidFill>
      </xdr:grpSpPr>
    </xdr:grpSp>
    <xdr:clientData/>
  </xdr:twoCellAnchor>
  <xdr:twoCellAnchor>
    <xdr:from>
      <xdr:col>1</xdr:col>
      <xdr:colOff>57150</xdr:colOff>
      <xdr:row>31</xdr:row>
      <xdr:rowOff>161925</xdr:rowOff>
    </xdr:from>
    <xdr:to>
      <xdr:col>3</xdr:col>
      <xdr:colOff>361950</xdr:colOff>
      <xdr:row>33</xdr:row>
      <xdr:rowOff>0</xdr:rowOff>
    </xdr:to>
    <xdr:grpSp>
      <xdr:nvGrpSpPr>
        <xdr:cNvPr id="53" name="Group 4986" hidden="1"/>
        <xdr:cNvGrpSpPr>
          <a:grpSpLocks/>
        </xdr:cNvGrpSpPr>
      </xdr:nvGrpSpPr>
      <xdr:grpSpPr>
        <a:xfrm>
          <a:off x="1304925" y="7286625"/>
          <a:ext cx="1590675" cy="219075"/>
          <a:chOff x="291" y="0"/>
          <a:chExt cx="2895317" cy="6962775"/>
        </a:xfrm>
        <a:solidFill>
          <a:srgbClr val="FFFFFF"/>
        </a:solidFill>
      </xdr:grpSpPr>
    </xdr:grpSp>
    <xdr:clientData/>
  </xdr:twoCellAnchor>
  <xdr:twoCellAnchor>
    <xdr:from>
      <xdr:col>1</xdr:col>
      <xdr:colOff>57150</xdr:colOff>
      <xdr:row>32</xdr:row>
      <xdr:rowOff>161925</xdr:rowOff>
    </xdr:from>
    <xdr:to>
      <xdr:col>3</xdr:col>
      <xdr:colOff>361950</xdr:colOff>
      <xdr:row>34</xdr:row>
      <xdr:rowOff>0</xdr:rowOff>
    </xdr:to>
    <xdr:grpSp>
      <xdr:nvGrpSpPr>
        <xdr:cNvPr id="57" name="Group 4987" hidden="1"/>
        <xdr:cNvGrpSpPr>
          <a:grpSpLocks/>
        </xdr:cNvGrpSpPr>
      </xdr:nvGrpSpPr>
      <xdr:grpSpPr>
        <a:xfrm>
          <a:off x="1304925" y="7477125"/>
          <a:ext cx="1590675" cy="219075"/>
          <a:chOff x="291" y="0"/>
          <a:chExt cx="2895317" cy="6962775"/>
        </a:xfrm>
        <a:solidFill>
          <a:srgbClr val="FFFFFF"/>
        </a:solidFill>
      </xdr:grpSpPr>
    </xdr:grpSp>
    <xdr:clientData/>
  </xdr:twoCellAnchor>
  <xdr:twoCellAnchor>
    <xdr:from>
      <xdr:col>1</xdr:col>
      <xdr:colOff>57150</xdr:colOff>
      <xdr:row>33</xdr:row>
      <xdr:rowOff>161925</xdr:rowOff>
    </xdr:from>
    <xdr:to>
      <xdr:col>3</xdr:col>
      <xdr:colOff>361950</xdr:colOff>
      <xdr:row>35</xdr:row>
      <xdr:rowOff>0</xdr:rowOff>
    </xdr:to>
    <xdr:grpSp>
      <xdr:nvGrpSpPr>
        <xdr:cNvPr id="61" name="Group 4988" hidden="1"/>
        <xdr:cNvGrpSpPr>
          <a:grpSpLocks/>
        </xdr:cNvGrpSpPr>
      </xdr:nvGrpSpPr>
      <xdr:grpSpPr>
        <a:xfrm>
          <a:off x="1304925" y="7667625"/>
          <a:ext cx="1590675" cy="219075"/>
          <a:chOff x="291" y="0"/>
          <a:chExt cx="2895317" cy="6962775"/>
        </a:xfrm>
        <a:solidFill>
          <a:srgbClr val="FFFFFF"/>
        </a:solidFill>
      </xdr:grpSpPr>
    </xdr:grpSp>
    <xdr:clientData/>
  </xdr:twoCellAnchor>
  <xdr:twoCellAnchor>
    <xdr:from>
      <xdr:col>1</xdr:col>
      <xdr:colOff>57150</xdr:colOff>
      <xdr:row>36</xdr:row>
      <xdr:rowOff>161925</xdr:rowOff>
    </xdr:from>
    <xdr:to>
      <xdr:col>3</xdr:col>
      <xdr:colOff>361950</xdr:colOff>
      <xdr:row>38</xdr:row>
      <xdr:rowOff>0</xdr:rowOff>
    </xdr:to>
    <xdr:grpSp>
      <xdr:nvGrpSpPr>
        <xdr:cNvPr id="65" name="Group 4991" hidden="1"/>
        <xdr:cNvGrpSpPr>
          <a:grpSpLocks/>
        </xdr:cNvGrpSpPr>
      </xdr:nvGrpSpPr>
      <xdr:grpSpPr>
        <a:xfrm>
          <a:off x="1304925" y="8239125"/>
          <a:ext cx="1590675" cy="219075"/>
          <a:chOff x="291" y="0"/>
          <a:chExt cx="2895317" cy="6962775"/>
        </a:xfrm>
        <a:solidFill>
          <a:srgbClr val="FFFFFF"/>
        </a:solidFill>
      </xdr:grpSpPr>
    </xdr:grpSp>
    <xdr:clientData/>
  </xdr:twoCellAnchor>
  <xdr:twoCellAnchor>
    <xdr:from>
      <xdr:col>1</xdr:col>
      <xdr:colOff>57150</xdr:colOff>
      <xdr:row>37</xdr:row>
      <xdr:rowOff>161925</xdr:rowOff>
    </xdr:from>
    <xdr:to>
      <xdr:col>3</xdr:col>
      <xdr:colOff>361950</xdr:colOff>
      <xdr:row>39</xdr:row>
      <xdr:rowOff>0</xdr:rowOff>
    </xdr:to>
    <xdr:grpSp>
      <xdr:nvGrpSpPr>
        <xdr:cNvPr id="69" name="Group 4992" hidden="1"/>
        <xdr:cNvGrpSpPr>
          <a:grpSpLocks/>
        </xdr:cNvGrpSpPr>
      </xdr:nvGrpSpPr>
      <xdr:grpSpPr>
        <a:xfrm>
          <a:off x="1304925" y="8429625"/>
          <a:ext cx="1590675" cy="219075"/>
          <a:chOff x="291" y="0"/>
          <a:chExt cx="2895317" cy="6962775"/>
        </a:xfrm>
        <a:solidFill>
          <a:srgbClr val="FFFFFF"/>
        </a:solidFill>
      </xdr:grpSpPr>
    </xdr:grpSp>
    <xdr:clientData/>
  </xdr:twoCellAnchor>
  <xdr:twoCellAnchor>
    <xdr:from>
      <xdr:col>1</xdr:col>
      <xdr:colOff>57150</xdr:colOff>
      <xdr:row>38</xdr:row>
      <xdr:rowOff>161925</xdr:rowOff>
    </xdr:from>
    <xdr:to>
      <xdr:col>3</xdr:col>
      <xdr:colOff>361950</xdr:colOff>
      <xdr:row>40</xdr:row>
      <xdr:rowOff>0</xdr:rowOff>
    </xdr:to>
    <xdr:grpSp>
      <xdr:nvGrpSpPr>
        <xdr:cNvPr id="73" name="Group 4993" hidden="1"/>
        <xdr:cNvGrpSpPr>
          <a:grpSpLocks/>
        </xdr:cNvGrpSpPr>
      </xdr:nvGrpSpPr>
      <xdr:grpSpPr>
        <a:xfrm>
          <a:off x="1304925" y="8620125"/>
          <a:ext cx="1590675" cy="219075"/>
          <a:chOff x="291" y="0"/>
          <a:chExt cx="2895317" cy="6962775"/>
        </a:xfrm>
        <a:solidFill>
          <a:srgbClr val="FFFFFF"/>
        </a:solidFill>
      </xdr:grpSpPr>
    </xdr:grpSp>
    <xdr:clientData/>
  </xdr:twoCellAnchor>
  <xdr:twoCellAnchor>
    <xdr:from>
      <xdr:col>1</xdr:col>
      <xdr:colOff>57150</xdr:colOff>
      <xdr:row>39</xdr:row>
      <xdr:rowOff>161925</xdr:rowOff>
    </xdr:from>
    <xdr:to>
      <xdr:col>3</xdr:col>
      <xdr:colOff>361950</xdr:colOff>
      <xdr:row>41</xdr:row>
      <xdr:rowOff>0</xdr:rowOff>
    </xdr:to>
    <xdr:grpSp>
      <xdr:nvGrpSpPr>
        <xdr:cNvPr id="77" name="Group 4994" hidden="1"/>
        <xdr:cNvGrpSpPr>
          <a:grpSpLocks/>
        </xdr:cNvGrpSpPr>
      </xdr:nvGrpSpPr>
      <xdr:grpSpPr>
        <a:xfrm>
          <a:off x="1304925" y="8810625"/>
          <a:ext cx="1590675" cy="219075"/>
          <a:chOff x="291" y="0"/>
          <a:chExt cx="2895317" cy="6962775"/>
        </a:xfrm>
        <a:solidFill>
          <a:srgbClr val="FFFFFF"/>
        </a:solidFill>
      </xdr:grpSpPr>
    </xdr:grpSp>
    <xdr:clientData/>
  </xdr:twoCellAnchor>
  <xdr:twoCellAnchor>
    <xdr:from>
      <xdr:col>1</xdr:col>
      <xdr:colOff>57150</xdr:colOff>
      <xdr:row>40</xdr:row>
      <xdr:rowOff>161925</xdr:rowOff>
    </xdr:from>
    <xdr:to>
      <xdr:col>3</xdr:col>
      <xdr:colOff>361950</xdr:colOff>
      <xdr:row>42</xdr:row>
      <xdr:rowOff>0</xdr:rowOff>
    </xdr:to>
    <xdr:grpSp>
      <xdr:nvGrpSpPr>
        <xdr:cNvPr id="81" name="Group 4995" hidden="1"/>
        <xdr:cNvGrpSpPr>
          <a:grpSpLocks/>
        </xdr:cNvGrpSpPr>
      </xdr:nvGrpSpPr>
      <xdr:grpSpPr>
        <a:xfrm>
          <a:off x="1304925" y="9001125"/>
          <a:ext cx="1590675" cy="219075"/>
          <a:chOff x="291" y="0"/>
          <a:chExt cx="2895317" cy="6962775"/>
        </a:xfrm>
        <a:solidFill>
          <a:srgbClr val="FFFFFF"/>
        </a:solidFill>
      </xdr:grpSpPr>
    </xdr:grpSp>
    <xdr:clientData/>
  </xdr:twoCellAnchor>
  <xdr:twoCellAnchor>
    <xdr:from>
      <xdr:col>1</xdr:col>
      <xdr:colOff>57150</xdr:colOff>
      <xdr:row>41</xdr:row>
      <xdr:rowOff>161925</xdr:rowOff>
    </xdr:from>
    <xdr:to>
      <xdr:col>3</xdr:col>
      <xdr:colOff>361950</xdr:colOff>
      <xdr:row>43</xdr:row>
      <xdr:rowOff>0</xdr:rowOff>
    </xdr:to>
    <xdr:grpSp>
      <xdr:nvGrpSpPr>
        <xdr:cNvPr id="85" name="Group 4996" hidden="1"/>
        <xdr:cNvGrpSpPr>
          <a:grpSpLocks/>
        </xdr:cNvGrpSpPr>
      </xdr:nvGrpSpPr>
      <xdr:grpSpPr>
        <a:xfrm>
          <a:off x="1304925" y="9191625"/>
          <a:ext cx="1590675" cy="219075"/>
          <a:chOff x="291" y="0"/>
          <a:chExt cx="2895317" cy="6962775"/>
        </a:xfrm>
        <a:solidFill>
          <a:srgbClr val="FFFFFF"/>
        </a:solidFill>
      </xdr:grpSpPr>
    </xdr:grpSp>
    <xdr:clientData/>
  </xdr:twoCellAnchor>
  <xdr:twoCellAnchor>
    <xdr:from>
      <xdr:col>1</xdr:col>
      <xdr:colOff>57150</xdr:colOff>
      <xdr:row>42</xdr:row>
      <xdr:rowOff>161925</xdr:rowOff>
    </xdr:from>
    <xdr:to>
      <xdr:col>3</xdr:col>
      <xdr:colOff>361950</xdr:colOff>
      <xdr:row>44</xdr:row>
      <xdr:rowOff>0</xdr:rowOff>
    </xdr:to>
    <xdr:grpSp>
      <xdr:nvGrpSpPr>
        <xdr:cNvPr id="89" name="Group 4997" hidden="1"/>
        <xdr:cNvGrpSpPr>
          <a:grpSpLocks/>
        </xdr:cNvGrpSpPr>
      </xdr:nvGrpSpPr>
      <xdr:grpSpPr>
        <a:xfrm>
          <a:off x="1304925" y="9382125"/>
          <a:ext cx="1590675" cy="219075"/>
          <a:chOff x="291" y="0"/>
          <a:chExt cx="2895317" cy="6962775"/>
        </a:xfrm>
        <a:solidFill>
          <a:srgbClr val="FFFFFF"/>
        </a:solidFill>
      </xdr:grpSpPr>
    </xdr:grpSp>
    <xdr:clientData/>
  </xdr:twoCellAnchor>
  <xdr:twoCellAnchor>
    <xdr:from>
      <xdr:col>1</xdr:col>
      <xdr:colOff>57150</xdr:colOff>
      <xdr:row>43</xdr:row>
      <xdr:rowOff>161925</xdr:rowOff>
    </xdr:from>
    <xdr:to>
      <xdr:col>3</xdr:col>
      <xdr:colOff>361950</xdr:colOff>
      <xdr:row>45</xdr:row>
      <xdr:rowOff>0</xdr:rowOff>
    </xdr:to>
    <xdr:grpSp>
      <xdr:nvGrpSpPr>
        <xdr:cNvPr id="93" name="Group 4998" hidden="1"/>
        <xdr:cNvGrpSpPr>
          <a:grpSpLocks/>
        </xdr:cNvGrpSpPr>
      </xdr:nvGrpSpPr>
      <xdr:grpSpPr>
        <a:xfrm>
          <a:off x="1304925" y="9572625"/>
          <a:ext cx="1590675" cy="219075"/>
          <a:chOff x="291" y="0"/>
          <a:chExt cx="2895317" cy="6962775"/>
        </a:xfrm>
        <a:solidFill>
          <a:srgbClr val="FFFFFF"/>
        </a:solidFill>
      </xdr:grpSpPr>
    </xdr:grpSp>
    <xdr:clientData/>
  </xdr:twoCellAnchor>
  <xdr:twoCellAnchor>
    <xdr:from>
      <xdr:col>1</xdr:col>
      <xdr:colOff>57150</xdr:colOff>
      <xdr:row>44</xdr:row>
      <xdr:rowOff>161925</xdr:rowOff>
    </xdr:from>
    <xdr:to>
      <xdr:col>3</xdr:col>
      <xdr:colOff>361950</xdr:colOff>
      <xdr:row>46</xdr:row>
      <xdr:rowOff>0</xdr:rowOff>
    </xdr:to>
    <xdr:grpSp>
      <xdr:nvGrpSpPr>
        <xdr:cNvPr id="97" name="Group 4999" hidden="1"/>
        <xdr:cNvGrpSpPr>
          <a:grpSpLocks/>
        </xdr:cNvGrpSpPr>
      </xdr:nvGrpSpPr>
      <xdr:grpSpPr>
        <a:xfrm>
          <a:off x="1304925" y="9763125"/>
          <a:ext cx="1590675" cy="219075"/>
          <a:chOff x="291" y="0"/>
          <a:chExt cx="2895317" cy="6962775"/>
        </a:xfrm>
        <a:solidFill>
          <a:srgbClr val="FFFFFF"/>
        </a:solidFill>
      </xdr:grpSpPr>
    </xdr:grpSp>
    <xdr:clientData/>
  </xdr:twoCellAnchor>
  <xdr:twoCellAnchor>
    <xdr:from>
      <xdr:col>1</xdr:col>
      <xdr:colOff>57150</xdr:colOff>
      <xdr:row>45</xdr:row>
      <xdr:rowOff>161925</xdr:rowOff>
    </xdr:from>
    <xdr:to>
      <xdr:col>3</xdr:col>
      <xdr:colOff>361950</xdr:colOff>
      <xdr:row>47</xdr:row>
      <xdr:rowOff>0</xdr:rowOff>
    </xdr:to>
    <xdr:grpSp>
      <xdr:nvGrpSpPr>
        <xdr:cNvPr id="101" name="Group 5000" hidden="1"/>
        <xdr:cNvGrpSpPr>
          <a:grpSpLocks/>
        </xdr:cNvGrpSpPr>
      </xdr:nvGrpSpPr>
      <xdr:grpSpPr>
        <a:xfrm>
          <a:off x="1304925" y="9953625"/>
          <a:ext cx="159067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361950</xdr:colOff>
      <xdr:row>48</xdr:row>
      <xdr:rowOff>0</xdr:rowOff>
    </xdr:to>
    <xdr:grpSp>
      <xdr:nvGrpSpPr>
        <xdr:cNvPr id="105" name="Group 5001" hidden="1"/>
        <xdr:cNvGrpSpPr>
          <a:grpSpLocks/>
        </xdr:cNvGrpSpPr>
      </xdr:nvGrpSpPr>
      <xdr:grpSpPr>
        <a:xfrm>
          <a:off x="1304925" y="10144125"/>
          <a:ext cx="159067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361950</xdr:colOff>
      <xdr:row>49</xdr:row>
      <xdr:rowOff>0</xdr:rowOff>
    </xdr:to>
    <xdr:grpSp>
      <xdr:nvGrpSpPr>
        <xdr:cNvPr id="109" name="Group 5002" hidden="1"/>
        <xdr:cNvGrpSpPr>
          <a:grpSpLocks/>
        </xdr:cNvGrpSpPr>
      </xdr:nvGrpSpPr>
      <xdr:grpSpPr>
        <a:xfrm>
          <a:off x="1304925" y="10334625"/>
          <a:ext cx="159067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361950</xdr:colOff>
      <xdr:row>50</xdr:row>
      <xdr:rowOff>0</xdr:rowOff>
    </xdr:to>
    <xdr:grpSp>
      <xdr:nvGrpSpPr>
        <xdr:cNvPr id="113" name="Group 5003" hidden="1"/>
        <xdr:cNvGrpSpPr>
          <a:grpSpLocks/>
        </xdr:cNvGrpSpPr>
      </xdr:nvGrpSpPr>
      <xdr:grpSpPr>
        <a:xfrm>
          <a:off x="1304925" y="10525125"/>
          <a:ext cx="159067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361950</xdr:colOff>
      <xdr:row>51</xdr:row>
      <xdr:rowOff>0</xdr:rowOff>
    </xdr:to>
    <xdr:grpSp>
      <xdr:nvGrpSpPr>
        <xdr:cNvPr id="117" name="Group 5004" hidden="1"/>
        <xdr:cNvGrpSpPr>
          <a:grpSpLocks/>
        </xdr:cNvGrpSpPr>
      </xdr:nvGrpSpPr>
      <xdr:grpSpPr>
        <a:xfrm>
          <a:off x="1304925" y="10715625"/>
          <a:ext cx="159067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361950</xdr:colOff>
      <xdr:row>52</xdr:row>
      <xdr:rowOff>0</xdr:rowOff>
    </xdr:to>
    <xdr:grpSp>
      <xdr:nvGrpSpPr>
        <xdr:cNvPr id="121" name="Group 5005" hidden="1"/>
        <xdr:cNvGrpSpPr>
          <a:grpSpLocks/>
        </xdr:cNvGrpSpPr>
      </xdr:nvGrpSpPr>
      <xdr:grpSpPr>
        <a:xfrm>
          <a:off x="1304925" y="10906125"/>
          <a:ext cx="159067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361950</xdr:colOff>
      <xdr:row>53</xdr:row>
      <xdr:rowOff>0</xdr:rowOff>
    </xdr:to>
    <xdr:grpSp>
      <xdr:nvGrpSpPr>
        <xdr:cNvPr id="125" name="Group 5006" hidden="1"/>
        <xdr:cNvGrpSpPr>
          <a:grpSpLocks/>
        </xdr:cNvGrpSpPr>
      </xdr:nvGrpSpPr>
      <xdr:grpSpPr>
        <a:xfrm>
          <a:off x="1304925" y="11096625"/>
          <a:ext cx="159067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361950</xdr:colOff>
      <xdr:row>54</xdr:row>
      <xdr:rowOff>0</xdr:rowOff>
    </xdr:to>
    <xdr:grpSp>
      <xdr:nvGrpSpPr>
        <xdr:cNvPr id="129" name="Group 5007" hidden="1"/>
        <xdr:cNvGrpSpPr>
          <a:grpSpLocks/>
        </xdr:cNvGrpSpPr>
      </xdr:nvGrpSpPr>
      <xdr:grpSpPr>
        <a:xfrm>
          <a:off x="1304925" y="11287125"/>
          <a:ext cx="1590675" cy="219075"/>
          <a:chOff x="291" y="0"/>
          <a:chExt cx="2895317" cy="6962775"/>
        </a:xfrm>
        <a:solidFill>
          <a:srgbClr val="FFFFFF"/>
        </a:solidFill>
      </xdr:grpSpPr>
    </xdr:grpSp>
    <xdr:clientData/>
  </xdr:twoCellAnchor>
  <xdr:twoCellAnchor>
    <xdr:from>
      <xdr:col>1</xdr:col>
      <xdr:colOff>57150</xdr:colOff>
      <xdr:row>53</xdr:row>
      <xdr:rowOff>161925</xdr:rowOff>
    </xdr:from>
    <xdr:to>
      <xdr:col>3</xdr:col>
      <xdr:colOff>361950</xdr:colOff>
      <xdr:row>55</xdr:row>
      <xdr:rowOff>0</xdr:rowOff>
    </xdr:to>
    <xdr:grpSp>
      <xdr:nvGrpSpPr>
        <xdr:cNvPr id="133" name="Group 5008" hidden="1"/>
        <xdr:cNvGrpSpPr>
          <a:grpSpLocks/>
        </xdr:cNvGrpSpPr>
      </xdr:nvGrpSpPr>
      <xdr:grpSpPr>
        <a:xfrm>
          <a:off x="1304925" y="11477625"/>
          <a:ext cx="1590675" cy="219075"/>
          <a:chOff x="291" y="0"/>
          <a:chExt cx="2895317" cy="6962775"/>
        </a:xfrm>
        <a:solidFill>
          <a:srgbClr val="FFFFFF"/>
        </a:solidFill>
      </xdr:grpSpPr>
    </xdr:grpSp>
    <xdr:clientData/>
  </xdr:twoCellAnchor>
  <xdr:twoCellAnchor>
    <xdr:from>
      <xdr:col>1</xdr:col>
      <xdr:colOff>57150</xdr:colOff>
      <xdr:row>54</xdr:row>
      <xdr:rowOff>161925</xdr:rowOff>
    </xdr:from>
    <xdr:to>
      <xdr:col>3</xdr:col>
      <xdr:colOff>361950</xdr:colOff>
      <xdr:row>56</xdr:row>
      <xdr:rowOff>0</xdr:rowOff>
    </xdr:to>
    <xdr:grpSp>
      <xdr:nvGrpSpPr>
        <xdr:cNvPr id="137" name="Group 5009" hidden="1"/>
        <xdr:cNvGrpSpPr>
          <a:grpSpLocks/>
        </xdr:cNvGrpSpPr>
      </xdr:nvGrpSpPr>
      <xdr:grpSpPr>
        <a:xfrm>
          <a:off x="1304925" y="11668125"/>
          <a:ext cx="1590675" cy="219075"/>
          <a:chOff x="291" y="0"/>
          <a:chExt cx="2895317" cy="6962775"/>
        </a:xfrm>
        <a:solidFill>
          <a:srgbClr val="FFFFFF"/>
        </a:solidFill>
      </xdr:grpSpPr>
    </xdr:grpSp>
    <xdr:clientData/>
  </xdr:twoCellAnchor>
  <xdr:twoCellAnchor>
    <xdr:from>
      <xdr:col>1</xdr:col>
      <xdr:colOff>57150</xdr:colOff>
      <xdr:row>55</xdr:row>
      <xdr:rowOff>161925</xdr:rowOff>
    </xdr:from>
    <xdr:to>
      <xdr:col>3</xdr:col>
      <xdr:colOff>361950</xdr:colOff>
      <xdr:row>57</xdr:row>
      <xdr:rowOff>0</xdr:rowOff>
    </xdr:to>
    <xdr:grpSp>
      <xdr:nvGrpSpPr>
        <xdr:cNvPr id="141" name="Group 5010" hidden="1"/>
        <xdr:cNvGrpSpPr>
          <a:grpSpLocks/>
        </xdr:cNvGrpSpPr>
      </xdr:nvGrpSpPr>
      <xdr:grpSpPr>
        <a:xfrm>
          <a:off x="1304925" y="11858625"/>
          <a:ext cx="1590675" cy="219075"/>
          <a:chOff x="291" y="0"/>
          <a:chExt cx="2895317" cy="6962775"/>
        </a:xfrm>
        <a:solidFill>
          <a:srgbClr val="FFFFFF"/>
        </a:solidFill>
      </xdr:grpSpPr>
    </xdr:grpSp>
    <xdr:clientData/>
  </xdr:twoCellAnchor>
  <xdr:twoCellAnchor>
    <xdr:from>
      <xdr:col>1</xdr:col>
      <xdr:colOff>57150</xdr:colOff>
      <xdr:row>56</xdr:row>
      <xdr:rowOff>161925</xdr:rowOff>
    </xdr:from>
    <xdr:to>
      <xdr:col>3</xdr:col>
      <xdr:colOff>361950</xdr:colOff>
      <xdr:row>58</xdr:row>
      <xdr:rowOff>0</xdr:rowOff>
    </xdr:to>
    <xdr:grpSp>
      <xdr:nvGrpSpPr>
        <xdr:cNvPr id="145" name="Group 5011" hidden="1"/>
        <xdr:cNvGrpSpPr>
          <a:grpSpLocks/>
        </xdr:cNvGrpSpPr>
      </xdr:nvGrpSpPr>
      <xdr:grpSpPr>
        <a:xfrm>
          <a:off x="1304925" y="12049125"/>
          <a:ext cx="1590675" cy="219075"/>
          <a:chOff x="291" y="0"/>
          <a:chExt cx="2895317" cy="6962775"/>
        </a:xfrm>
        <a:solidFill>
          <a:srgbClr val="FFFFFF"/>
        </a:solidFill>
      </xdr:grpSpPr>
    </xdr:grpSp>
    <xdr:clientData/>
  </xdr:twoCellAnchor>
  <xdr:twoCellAnchor>
    <xdr:from>
      <xdr:col>1</xdr:col>
      <xdr:colOff>57150</xdr:colOff>
      <xdr:row>57</xdr:row>
      <xdr:rowOff>161925</xdr:rowOff>
    </xdr:from>
    <xdr:to>
      <xdr:col>3</xdr:col>
      <xdr:colOff>361950</xdr:colOff>
      <xdr:row>59</xdr:row>
      <xdr:rowOff>0</xdr:rowOff>
    </xdr:to>
    <xdr:grpSp>
      <xdr:nvGrpSpPr>
        <xdr:cNvPr id="149" name="Group 5012" hidden="1"/>
        <xdr:cNvGrpSpPr>
          <a:grpSpLocks/>
        </xdr:cNvGrpSpPr>
      </xdr:nvGrpSpPr>
      <xdr:grpSpPr>
        <a:xfrm>
          <a:off x="1304925" y="12239625"/>
          <a:ext cx="1590675" cy="219075"/>
          <a:chOff x="291" y="0"/>
          <a:chExt cx="2895317" cy="6962775"/>
        </a:xfrm>
        <a:solidFill>
          <a:srgbClr val="FFFFFF"/>
        </a:solidFill>
      </xdr:grpSpPr>
    </xdr:grpSp>
    <xdr:clientData/>
  </xdr:twoCellAnchor>
  <xdr:twoCellAnchor>
    <xdr:from>
      <xdr:col>1</xdr:col>
      <xdr:colOff>57150</xdr:colOff>
      <xdr:row>58</xdr:row>
      <xdr:rowOff>161925</xdr:rowOff>
    </xdr:from>
    <xdr:to>
      <xdr:col>3</xdr:col>
      <xdr:colOff>361950</xdr:colOff>
      <xdr:row>60</xdr:row>
      <xdr:rowOff>0</xdr:rowOff>
    </xdr:to>
    <xdr:grpSp>
      <xdr:nvGrpSpPr>
        <xdr:cNvPr id="153" name="Group 5013" hidden="1"/>
        <xdr:cNvGrpSpPr>
          <a:grpSpLocks/>
        </xdr:cNvGrpSpPr>
      </xdr:nvGrpSpPr>
      <xdr:grpSpPr>
        <a:xfrm>
          <a:off x="1304925" y="12430125"/>
          <a:ext cx="1590675" cy="219075"/>
          <a:chOff x="291" y="0"/>
          <a:chExt cx="2895317" cy="6962775"/>
        </a:xfrm>
        <a:solidFill>
          <a:srgbClr val="FFFFFF"/>
        </a:solidFill>
      </xdr:grpSpPr>
    </xdr:grpSp>
    <xdr:clientData/>
  </xdr:twoCellAnchor>
  <xdr:twoCellAnchor>
    <xdr:from>
      <xdr:col>1</xdr:col>
      <xdr:colOff>57150</xdr:colOff>
      <xdr:row>59</xdr:row>
      <xdr:rowOff>161925</xdr:rowOff>
    </xdr:from>
    <xdr:to>
      <xdr:col>3</xdr:col>
      <xdr:colOff>361950</xdr:colOff>
      <xdr:row>61</xdr:row>
      <xdr:rowOff>0</xdr:rowOff>
    </xdr:to>
    <xdr:grpSp>
      <xdr:nvGrpSpPr>
        <xdr:cNvPr id="157" name="Group 5014" hidden="1"/>
        <xdr:cNvGrpSpPr>
          <a:grpSpLocks/>
        </xdr:cNvGrpSpPr>
      </xdr:nvGrpSpPr>
      <xdr:grpSpPr>
        <a:xfrm>
          <a:off x="1304925" y="12620625"/>
          <a:ext cx="1590675" cy="219075"/>
          <a:chOff x="291" y="0"/>
          <a:chExt cx="2895317" cy="6962775"/>
        </a:xfrm>
        <a:solidFill>
          <a:srgbClr val="FFFFFF"/>
        </a:solidFill>
      </xdr:grpSpPr>
    </xdr:grpSp>
    <xdr:clientData/>
  </xdr:twoCellAnchor>
  <xdr:twoCellAnchor>
    <xdr:from>
      <xdr:col>1</xdr:col>
      <xdr:colOff>57150</xdr:colOff>
      <xdr:row>61</xdr:row>
      <xdr:rowOff>0</xdr:rowOff>
    </xdr:from>
    <xdr:to>
      <xdr:col>3</xdr:col>
      <xdr:colOff>361950</xdr:colOff>
      <xdr:row>61</xdr:row>
      <xdr:rowOff>180975</xdr:rowOff>
    </xdr:to>
    <xdr:grpSp>
      <xdr:nvGrpSpPr>
        <xdr:cNvPr id="161" name="Group 5015" hidden="1"/>
        <xdr:cNvGrpSpPr>
          <a:grpSpLocks/>
        </xdr:cNvGrpSpPr>
      </xdr:nvGrpSpPr>
      <xdr:grpSpPr>
        <a:xfrm>
          <a:off x="1304925" y="12839700"/>
          <a:ext cx="1590675" cy="180975"/>
          <a:chOff x="291" y="0"/>
          <a:chExt cx="2895317" cy="6962775"/>
        </a:xfrm>
        <a:solidFill>
          <a:srgbClr val="FFFFFF"/>
        </a:solidFill>
      </xdr:grpSpPr>
    </xdr:grpSp>
    <xdr:clientData/>
  </xdr:twoCellAnchor>
  <xdr:twoCellAnchor>
    <xdr:from>
      <xdr:col>1</xdr:col>
      <xdr:colOff>57150</xdr:colOff>
      <xdr:row>61</xdr:row>
      <xdr:rowOff>161925</xdr:rowOff>
    </xdr:from>
    <xdr:to>
      <xdr:col>3</xdr:col>
      <xdr:colOff>361950</xdr:colOff>
      <xdr:row>63</xdr:row>
      <xdr:rowOff>0</xdr:rowOff>
    </xdr:to>
    <xdr:grpSp>
      <xdr:nvGrpSpPr>
        <xdr:cNvPr id="165" name="Group 5016" hidden="1"/>
        <xdr:cNvGrpSpPr>
          <a:grpSpLocks/>
        </xdr:cNvGrpSpPr>
      </xdr:nvGrpSpPr>
      <xdr:grpSpPr>
        <a:xfrm>
          <a:off x="1304925" y="13001625"/>
          <a:ext cx="1590675" cy="219075"/>
          <a:chOff x="291" y="0"/>
          <a:chExt cx="2895317" cy="6962775"/>
        </a:xfrm>
        <a:solidFill>
          <a:srgbClr val="FFFFFF"/>
        </a:solidFill>
      </xdr:grpSpPr>
    </xdr:grpSp>
    <xdr:clientData/>
  </xdr:twoCellAnchor>
  <xdr:twoCellAnchor>
    <xdr:from>
      <xdr:col>1</xdr:col>
      <xdr:colOff>57150</xdr:colOff>
      <xdr:row>62</xdr:row>
      <xdr:rowOff>161925</xdr:rowOff>
    </xdr:from>
    <xdr:to>
      <xdr:col>3</xdr:col>
      <xdr:colOff>361950</xdr:colOff>
      <xdr:row>64</xdr:row>
      <xdr:rowOff>0</xdr:rowOff>
    </xdr:to>
    <xdr:grpSp>
      <xdr:nvGrpSpPr>
        <xdr:cNvPr id="169" name="Group 5017" hidden="1"/>
        <xdr:cNvGrpSpPr>
          <a:grpSpLocks/>
        </xdr:cNvGrpSpPr>
      </xdr:nvGrpSpPr>
      <xdr:grpSpPr>
        <a:xfrm>
          <a:off x="1304925" y="13192125"/>
          <a:ext cx="1590675" cy="219075"/>
          <a:chOff x="291" y="0"/>
          <a:chExt cx="2895317" cy="6962775"/>
        </a:xfrm>
        <a:solidFill>
          <a:srgbClr val="FFFFFF"/>
        </a:solidFill>
      </xdr:grpSpPr>
    </xdr:grpSp>
    <xdr:clientData/>
  </xdr:twoCellAnchor>
  <xdr:twoCellAnchor>
    <xdr:from>
      <xdr:col>1</xdr:col>
      <xdr:colOff>57150</xdr:colOff>
      <xdr:row>63</xdr:row>
      <xdr:rowOff>161925</xdr:rowOff>
    </xdr:from>
    <xdr:to>
      <xdr:col>3</xdr:col>
      <xdr:colOff>361950</xdr:colOff>
      <xdr:row>65</xdr:row>
      <xdr:rowOff>0</xdr:rowOff>
    </xdr:to>
    <xdr:grpSp>
      <xdr:nvGrpSpPr>
        <xdr:cNvPr id="173" name="Group 5018" hidden="1"/>
        <xdr:cNvGrpSpPr>
          <a:grpSpLocks/>
        </xdr:cNvGrpSpPr>
      </xdr:nvGrpSpPr>
      <xdr:grpSpPr>
        <a:xfrm>
          <a:off x="1304925" y="13382625"/>
          <a:ext cx="1590675" cy="219075"/>
          <a:chOff x="291" y="0"/>
          <a:chExt cx="2895317" cy="6962775"/>
        </a:xfrm>
        <a:solidFill>
          <a:srgbClr val="FFFFFF"/>
        </a:solidFill>
      </xdr:grpSpPr>
    </xdr:grpSp>
    <xdr:clientData/>
  </xdr:twoCellAnchor>
  <xdr:twoCellAnchor>
    <xdr:from>
      <xdr:col>1</xdr:col>
      <xdr:colOff>57150</xdr:colOff>
      <xdr:row>64</xdr:row>
      <xdr:rowOff>161925</xdr:rowOff>
    </xdr:from>
    <xdr:to>
      <xdr:col>3</xdr:col>
      <xdr:colOff>361950</xdr:colOff>
      <xdr:row>66</xdr:row>
      <xdr:rowOff>0</xdr:rowOff>
    </xdr:to>
    <xdr:grpSp>
      <xdr:nvGrpSpPr>
        <xdr:cNvPr id="177" name="Group 5019" hidden="1"/>
        <xdr:cNvGrpSpPr>
          <a:grpSpLocks/>
        </xdr:cNvGrpSpPr>
      </xdr:nvGrpSpPr>
      <xdr:grpSpPr>
        <a:xfrm>
          <a:off x="1304925" y="13573125"/>
          <a:ext cx="1590675" cy="219075"/>
          <a:chOff x="291" y="0"/>
          <a:chExt cx="2895317" cy="6962775"/>
        </a:xfrm>
        <a:solidFill>
          <a:srgbClr val="FFFFFF"/>
        </a:solidFill>
      </xdr:grpSpPr>
    </xdr:grpSp>
    <xdr:clientData/>
  </xdr:twoCellAnchor>
  <xdr:twoCellAnchor>
    <xdr:from>
      <xdr:col>1</xdr:col>
      <xdr:colOff>57150</xdr:colOff>
      <xdr:row>65</xdr:row>
      <xdr:rowOff>161925</xdr:rowOff>
    </xdr:from>
    <xdr:to>
      <xdr:col>3</xdr:col>
      <xdr:colOff>361950</xdr:colOff>
      <xdr:row>67</xdr:row>
      <xdr:rowOff>0</xdr:rowOff>
    </xdr:to>
    <xdr:grpSp>
      <xdr:nvGrpSpPr>
        <xdr:cNvPr id="181" name="Group 5020" hidden="1"/>
        <xdr:cNvGrpSpPr>
          <a:grpSpLocks/>
        </xdr:cNvGrpSpPr>
      </xdr:nvGrpSpPr>
      <xdr:grpSpPr>
        <a:xfrm>
          <a:off x="1304925" y="13763625"/>
          <a:ext cx="1590675" cy="219075"/>
          <a:chOff x="291" y="0"/>
          <a:chExt cx="2895317" cy="6962775"/>
        </a:xfrm>
        <a:solidFill>
          <a:srgbClr val="FFFFFF"/>
        </a:solidFill>
      </xdr:grpSpPr>
    </xdr:grpSp>
    <xdr:clientData/>
  </xdr:twoCellAnchor>
  <xdr:twoCellAnchor>
    <xdr:from>
      <xdr:col>1</xdr:col>
      <xdr:colOff>57150</xdr:colOff>
      <xdr:row>66</xdr:row>
      <xdr:rowOff>161925</xdr:rowOff>
    </xdr:from>
    <xdr:to>
      <xdr:col>3</xdr:col>
      <xdr:colOff>361950</xdr:colOff>
      <xdr:row>68</xdr:row>
      <xdr:rowOff>0</xdr:rowOff>
    </xdr:to>
    <xdr:grpSp>
      <xdr:nvGrpSpPr>
        <xdr:cNvPr id="185" name="Group 5021" hidden="1"/>
        <xdr:cNvGrpSpPr>
          <a:grpSpLocks/>
        </xdr:cNvGrpSpPr>
      </xdr:nvGrpSpPr>
      <xdr:grpSpPr>
        <a:xfrm>
          <a:off x="1304925" y="13954125"/>
          <a:ext cx="1590675" cy="219075"/>
          <a:chOff x="291" y="0"/>
          <a:chExt cx="2895317" cy="6962775"/>
        </a:xfrm>
        <a:solidFill>
          <a:srgbClr val="FFFFFF"/>
        </a:solidFill>
      </xdr:grpSpPr>
    </xdr:grpSp>
    <xdr:clientData/>
  </xdr:twoCellAnchor>
  <xdr:twoCellAnchor>
    <xdr:from>
      <xdr:col>1</xdr:col>
      <xdr:colOff>57150</xdr:colOff>
      <xdr:row>67</xdr:row>
      <xdr:rowOff>161925</xdr:rowOff>
    </xdr:from>
    <xdr:to>
      <xdr:col>3</xdr:col>
      <xdr:colOff>361950</xdr:colOff>
      <xdr:row>69</xdr:row>
      <xdr:rowOff>0</xdr:rowOff>
    </xdr:to>
    <xdr:grpSp>
      <xdr:nvGrpSpPr>
        <xdr:cNvPr id="189" name="Group 5022" hidden="1"/>
        <xdr:cNvGrpSpPr>
          <a:grpSpLocks/>
        </xdr:cNvGrpSpPr>
      </xdr:nvGrpSpPr>
      <xdr:grpSpPr>
        <a:xfrm>
          <a:off x="1304925" y="14144625"/>
          <a:ext cx="1590675" cy="219075"/>
          <a:chOff x="291" y="0"/>
          <a:chExt cx="2895317" cy="6962775"/>
        </a:xfrm>
        <a:solidFill>
          <a:srgbClr val="FFFFFF"/>
        </a:solidFill>
      </xdr:grpSpPr>
    </xdr:grpSp>
    <xdr:clientData/>
  </xdr:twoCellAnchor>
  <xdr:twoCellAnchor>
    <xdr:from>
      <xdr:col>1</xdr:col>
      <xdr:colOff>57150</xdr:colOff>
      <xdr:row>68</xdr:row>
      <xdr:rowOff>161925</xdr:rowOff>
    </xdr:from>
    <xdr:to>
      <xdr:col>3</xdr:col>
      <xdr:colOff>361950</xdr:colOff>
      <xdr:row>70</xdr:row>
      <xdr:rowOff>0</xdr:rowOff>
    </xdr:to>
    <xdr:grpSp>
      <xdr:nvGrpSpPr>
        <xdr:cNvPr id="193" name="Group 5023" hidden="1"/>
        <xdr:cNvGrpSpPr>
          <a:grpSpLocks/>
        </xdr:cNvGrpSpPr>
      </xdr:nvGrpSpPr>
      <xdr:grpSpPr>
        <a:xfrm>
          <a:off x="1304925" y="14335125"/>
          <a:ext cx="1590675" cy="219075"/>
          <a:chOff x="291" y="0"/>
          <a:chExt cx="2895317" cy="6962775"/>
        </a:xfrm>
        <a:solidFill>
          <a:srgbClr val="FFFFFF"/>
        </a:solidFill>
      </xdr:grpSpPr>
    </xdr:grpSp>
    <xdr:clientData/>
  </xdr:twoCellAnchor>
  <xdr:twoCellAnchor>
    <xdr:from>
      <xdr:col>1</xdr:col>
      <xdr:colOff>57150</xdr:colOff>
      <xdr:row>69</xdr:row>
      <xdr:rowOff>161925</xdr:rowOff>
    </xdr:from>
    <xdr:to>
      <xdr:col>3</xdr:col>
      <xdr:colOff>361950</xdr:colOff>
      <xdr:row>71</xdr:row>
      <xdr:rowOff>0</xdr:rowOff>
    </xdr:to>
    <xdr:grpSp>
      <xdr:nvGrpSpPr>
        <xdr:cNvPr id="197" name="Group 5024" hidden="1"/>
        <xdr:cNvGrpSpPr>
          <a:grpSpLocks/>
        </xdr:cNvGrpSpPr>
      </xdr:nvGrpSpPr>
      <xdr:grpSpPr>
        <a:xfrm>
          <a:off x="1304925" y="14525625"/>
          <a:ext cx="1590675" cy="219075"/>
          <a:chOff x="291" y="0"/>
          <a:chExt cx="2895317" cy="6962775"/>
        </a:xfrm>
        <a:solidFill>
          <a:srgbClr val="FFFFFF"/>
        </a:solidFill>
      </xdr:grpSpPr>
    </xdr:grpSp>
    <xdr:clientData/>
  </xdr:twoCellAnchor>
  <xdr:twoCellAnchor>
    <xdr:from>
      <xdr:col>1</xdr:col>
      <xdr:colOff>57150</xdr:colOff>
      <xdr:row>70</xdr:row>
      <xdr:rowOff>161925</xdr:rowOff>
    </xdr:from>
    <xdr:to>
      <xdr:col>3</xdr:col>
      <xdr:colOff>361950</xdr:colOff>
      <xdr:row>72</xdr:row>
      <xdr:rowOff>0</xdr:rowOff>
    </xdr:to>
    <xdr:grpSp>
      <xdr:nvGrpSpPr>
        <xdr:cNvPr id="201" name="Group 5025" hidden="1"/>
        <xdr:cNvGrpSpPr>
          <a:grpSpLocks/>
        </xdr:cNvGrpSpPr>
      </xdr:nvGrpSpPr>
      <xdr:grpSpPr>
        <a:xfrm>
          <a:off x="1304925" y="14716125"/>
          <a:ext cx="1590675" cy="219075"/>
          <a:chOff x="291" y="0"/>
          <a:chExt cx="2895317" cy="6962775"/>
        </a:xfrm>
        <a:solidFill>
          <a:srgbClr val="FFFFFF"/>
        </a:solidFill>
      </xdr:grpSpPr>
    </xdr:grpSp>
    <xdr:clientData/>
  </xdr:twoCellAnchor>
  <xdr:twoCellAnchor>
    <xdr:from>
      <xdr:col>1</xdr:col>
      <xdr:colOff>57150</xdr:colOff>
      <xdr:row>71</xdr:row>
      <xdr:rowOff>161925</xdr:rowOff>
    </xdr:from>
    <xdr:to>
      <xdr:col>3</xdr:col>
      <xdr:colOff>361950</xdr:colOff>
      <xdr:row>73</xdr:row>
      <xdr:rowOff>0</xdr:rowOff>
    </xdr:to>
    <xdr:grpSp>
      <xdr:nvGrpSpPr>
        <xdr:cNvPr id="205" name="Group 5026" hidden="1"/>
        <xdr:cNvGrpSpPr>
          <a:grpSpLocks/>
        </xdr:cNvGrpSpPr>
      </xdr:nvGrpSpPr>
      <xdr:grpSpPr>
        <a:xfrm>
          <a:off x="1304925" y="14906625"/>
          <a:ext cx="1590675" cy="219075"/>
          <a:chOff x="291" y="0"/>
          <a:chExt cx="2895317" cy="6962775"/>
        </a:xfrm>
        <a:solidFill>
          <a:srgbClr val="FFFFFF"/>
        </a:solidFill>
      </xdr:grpSpPr>
    </xdr:grpSp>
    <xdr:clientData/>
  </xdr:twoCellAnchor>
  <xdr:twoCellAnchor>
    <xdr:from>
      <xdr:col>1</xdr:col>
      <xdr:colOff>57150</xdr:colOff>
      <xdr:row>72</xdr:row>
      <xdr:rowOff>161925</xdr:rowOff>
    </xdr:from>
    <xdr:to>
      <xdr:col>3</xdr:col>
      <xdr:colOff>361950</xdr:colOff>
      <xdr:row>74</xdr:row>
      <xdr:rowOff>0</xdr:rowOff>
    </xdr:to>
    <xdr:grpSp>
      <xdr:nvGrpSpPr>
        <xdr:cNvPr id="209" name="Group 5027" hidden="1"/>
        <xdr:cNvGrpSpPr>
          <a:grpSpLocks/>
        </xdr:cNvGrpSpPr>
      </xdr:nvGrpSpPr>
      <xdr:grpSpPr>
        <a:xfrm>
          <a:off x="1304925" y="15097125"/>
          <a:ext cx="1590675" cy="219075"/>
          <a:chOff x="291" y="0"/>
          <a:chExt cx="2895317" cy="6962775"/>
        </a:xfrm>
        <a:solidFill>
          <a:srgbClr val="FFFFFF"/>
        </a:solidFill>
      </xdr:grpSpPr>
    </xdr:grpSp>
    <xdr:clientData/>
  </xdr:twoCellAnchor>
  <xdr:twoCellAnchor>
    <xdr:from>
      <xdr:col>1</xdr:col>
      <xdr:colOff>57150</xdr:colOff>
      <xdr:row>73</xdr:row>
      <xdr:rowOff>161925</xdr:rowOff>
    </xdr:from>
    <xdr:to>
      <xdr:col>3</xdr:col>
      <xdr:colOff>361950</xdr:colOff>
      <xdr:row>75</xdr:row>
      <xdr:rowOff>0</xdr:rowOff>
    </xdr:to>
    <xdr:grpSp>
      <xdr:nvGrpSpPr>
        <xdr:cNvPr id="213" name="Group 5028" hidden="1"/>
        <xdr:cNvGrpSpPr>
          <a:grpSpLocks/>
        </xdr:cNvGrpSpPr>
      </xdr:nvGrpSpPr>
      <xdr:grpSpPr>
        <a:xfrm>
          <a:off x="1304925" y="15287625"/>
          <a:ext cx="1590675" cy="219075"/>
          <a:chOff x="291" y="0"/>
          <a:chExt cx="2895317" cy="6962775"/>
        </a:xfrm>
        <a:solidFill>
          <a:srgbClr val="FFFFFF"/>
        </a:solidFill>
      </xdr:grpSpPr>
    </xdr:grpSp>
    <xdr:clientData/>
  </xdr:twoCellAnchor>
  <xdr:twoCellAnchor>
    <xdr:from>
      <xdr:col>1</xdr:col>
      <xdr:colOff>57150</xdr:colOff>
      <xdr:row>74</xdr:row>
      <xdr:rowOff>161925</xdr:rowOff>
    </xdr:from>
    <xdr:to>
      <xdr:col>3</xdr:col>
      <xdr:colOff>361950</xdr:colOff>
      <xdr:row>76</xdr:row>
      <xdr:rowOff>0</xdr:rowOff>
    </xdr:to>
    <xdr:grpSp>
      <xdr:nvGrpSpPr>
        <xdr:cNvPr id="217" name="Group 5029" hidden="1"/>
        <xdr:cNvGrpSpPr>
          <a:grpSpLocks/>
        </xdr:cNvGrpSpPr>
      </xdr:nvGrpSpPr>
      <xdr:grpSpPr>
        <a:xfrm>
          <a:off x="1304925" y="15478125"/>
          <a:ext cx="1590675" cy="219075"/>
          <a:chOff x="291" y="0"/>
          <a:chExt cx="2895317" cy="6962775"/>
        </a:xfrm>
        <a:solidFill>
          <a:srgbClr val="FFFFFF"/>
        </a:solidFill>
      </xdr:grpSpPr>
    </xdr:grpSp>
    <xdr:clientData/>
  </xdr:twoCellAnchor>
  <xdr:twoCellAnchor>
    <xdr:from>
      <xdr:col>1</xdr:col>
      <xdr:colOff>57150</xdr:colOff>
      <xdr:row>75</xdr:row>
      <xdr:rowOff>161925</xdr:rowOff>
    </xdr:from>
    <xdr:to>
      <xdr:col>3</xdr:col>
      <xdr:colOff>361950</xdr:colOff>
      <xdr:row>77</xdr:row>
      <xdr:rowOff>0</xdr:rowOff>
    </xdr:to>
    <xdr:grpSp>
      <xdr:nvGrpSpPr>
        <xdr:cNvPr id="221" name="Group 5030" hidden="1"/>
        <xdr:cNvGrpSpPr>
          <a:grpSpLocks/>
        </xdr:cNvGrpSpPr>
      </xdr:nvGrpSpPr>
      <xdr:grpSpPr>
        <a:xfrm>
          <a:off x="1304925" y="15668625"/>
          <a:ext cx="1590675" cy="219075"/>
          <a:chOff x="291" y="0"/>
          <a:chExt cx="2895317" cy="6962775"/>
        </a:xfrm>
        <a:solidFill>
          <a:srgbClr val="FFFFFF"/>
        </a:solidFill>
      </xdr:grpSpPr>
    </xdr:grpSp>
    <xdr:clientData/>
  </xdr:twoCellAnchor>
  <xdr:twoCellAnchor>
    <xdr:from>
      <xdr:col>1</xdr:col>
      <xdr:colOff>57150</xdr:colOff>
      <xdr:row>76</xdr:row>
      <xdr:rowOff>161925</xdr:rowOff>
    </xdr:from>
    <xdr:to>
      <xdr:col>3</xdr:col>
      <xdr:colOff>361950</xdr:colOff>
      <xdr:row>78</xdr:row>
      <xdr:rowOff>0</xdr:rowOff>
    </xdr:to>
    <xdr:grpSp>
      <xdr:nvGrpSpPr>
        <xdr:cNvPr id="225" name="Group 5031" hidden="1"/>
        <xdr:cNvGrpSpPr>
          <a:grpSpLocks/>
        </xdr:cNvGrpSpPr>
      </xdr:nvGrpSpPr>
      <xdr:grpSpPr>
        <a:xfrm>
          <a:off x="1304925" y="15859125"/>
          <a:ext cx="1590675" cy="219075"/>
          <a:chOff x="291" y="0"/>
          <a:chExt cx="2895317" cy="6962775"/>
        </a:xfrm>
        <a:solidFill>
          <a:srgbClr val="FFFFFF"/>
        </a:solidFill>
      </xdr:grpSpPr>
    </xdr:grpSp>
    <xdr:clientData/>
  </xdr:twoCellAnchor>
  <xdr:twoCellAnchor>
    <xdr:from>
      <xdr:col>1</xdr:col>
      <xdr:colOff>57150</xdr:colOff>
      <xdr:row>77</xdr:row>
      <xdr:rowOff>161925</xdr:rowOff>
    </xdr:from>
    <xdr:to>
      <xdr:col>3</xdr:col>
      <xdr:colOff>361950</xdr:colOff>
      <xdr:row>79</xdr:row>
      <xdr:rowOff>0</xdr:rowOff>
    </xdr:to>
    <xdr:grpSp>
      <xdr:nvGrpSpPr>
        <xdr:cNvPr id="229" name="Group 5032" hidden="1"/>
        <xdr:cNvGrpSpPr>
          <a:grpSpLocks/>
        </xdr:cNvGrpSpPr>
      </xdr:nvGrpSpPr>
      <xdr:grpSpPr>
        <a:xfrm>
          <a:off x="1304925" y="16049625"/>
          <a:ext cx="1590675" cy="219075"/>
          <a:chOff x="291" y="0"/>
          <a:chExt cx="2895317" cy="6962775"/>
        </a:xfrm>
        <a:solidFill>
          <a:srgbClr val="FFFFFF"/>
        </a:solidFill>
      </xdr:grpSpPr>
    </xdr:grpSp>
    <xdr:clientData/>
  </xdr:twoCellAnchor>
  <xdr:twoCellAnchor>
    <xdr:from>
      <xdr:col>1</xdr:col>
      <xdr:colOff>57150</xdr:colOff>
      <xdr:row>78</xdr:row>
      <xdr:rowOff>161925</xdr:rowOff>
    </xdr:from>
    <xdr:to>
      <xdr:col>3</xdr:col>
      <xdr:colOff>361950</xdr:colOff>
      <xdr:row>80</xdr:row>
      <xdr:rowOff>0</xdr:rowOff>
    </xdr:to>
    <xdr:grpSp>
      <xdr:nvGrpSpPr>
        <xdr:cNvPr id="233" name="Group 5033" hidden="1"/>
        <xdr:cNvGrpSpPr>
          <a:grpSpLocks/>
        </xdr:cNvGrpSpPr>
      </xdr:nvGrpSpPr>
      <xdr:grpSpPr>
        <a:xfrm>
          <a:off x="1304925" y="16240125"/>
          <a:ext cx="1590675" cy="219075"/>
          <a:chOff x="291" y="0"/>
          <a:chExt cx="2895317" cy="6962775"/>
        </a:xfrm>
        <a:solidFill>
          <a:srgbClr val="FFFFFF"/>
        </a:solidFill>
      </xdr:grpSpPr>
    </xdr:grpSp>
    <xdr:clientData/>
  </xdr:twoCellAnchor>
  <xdr:twoCellAnchor>
    <xdr:from>
      <xdr:col>1</xdr:col>
      <xdr:colOff>57150</xdr:colOff>
      <xdr:row>79</xdr:row>
      <xdr:rowOff>161925</xdr:rowOff>
    </xdr:from>
    <xdr:to>
      <xdr:col>3</xdr:col>
      <xdr:colOff>361950</xdr:colOff>
      <xdr:row>81</xdr:row>
      <xdr:rowOff>0</xdr:rowOff>
    </xdr:to>
    <xdr:grpSp>
      <xdr:nvGrpSpPr>
        <xdr:cNvPr id="237" name="Group 5034" hidden="1"/>
        <xdr:cNvGrpSpPr>
          <a:grpSpLocks/>
        </xdr:cNvGrpSpPr>
      </xdr:nvGrpSpPr>
      <xdr:grpSpPr>
        <a:xfrm>
          <a:off x="1304925" y="16430625"/>
          <a:ext cx="1590675" cy="219075"/>
          <a:chOff x="291" y="0"/>
          <a:chExt cx="2895317" cy="6962775"/>
        </a:xfrm>
        <a:solidFill>
          <a:srgbClr val="FFFFFF"/>
        </a:solidFill>
      </xdr:grpSpPr>
    </xdr:grpSp>
    <xdr:clientData/>
  </xdr:twoCellAnchor>
  <xdr:twoCellAnchor>
    <xdr:from>
      <xdr:col>1</xdr:col>
      <xdr:colOff>57150</xdr:colOff>
      <xdr:row>80</xdr:row>
      <xdr:rowOff>161925</xdr:rowOff>
    </xdr:from>
    <xdr:to>
      <xdr:col>3</xdr:col>
      <xdr:colOff>361950</xdr:colOff>
      <xdr:row>82</xdr:row>
      <xdr:rowOff>0</xdr:rowOff>
    </xdr:to>
    <xdr:grpSp>
      <xdr:nvGrpSpPr>
        <xdr:cNvPr id="241" name="Group 5035" hidden="1"/>
        <xdr:cNvGrpSpPr>
          <a:grpSpLocks/>
        </xdr:cNvGrpSpPr>
      </xdr:nvGrpSpPr>
      <xdr:grpSpPr>
        <a:xfrm>
          <a:off x="1304925" y="16621125"/>
          <a:ext cx="1590675" cy="219075"/>
          <a:chOff x="291" y="0"/>
          <a:chExt cx="2895317" cy="6962775"/>
        </a:xfrm>
        <a:solidFill>
          <a:srgbClr val="FFFFFF"/>
        </a:solidFill>
      </xdr:grpSpPr>
    </xdr:grpSp>
    <xdr:clientData/>
  </xdr:twoCellAnchor>
  <xdr:twoCellAnchor>
    <xdr:from>
      <xdr:col>1</xdr:col>
      <xdr:colOff>57150</xdr:colOff>
      <xdr:row>81</xdr:row>
      <xdr:rowOff>161925</xdr:rowOff>
    </xdr:from>
    <xdr:to>
      <xdr:col>3</xdr:col>
      <xdr:colOff>361950</xdr:colOff>
      <xdr:row>83</xdr:row>
      <xdr:rowOff>0</xdr:rowOff>
    </xdr:to>
    <xdr:grpSp>
      <xdr:nvGrpSpPr>
        <xdr:cNvPr id="245" name="Group 5036" hidden="1"/>
        <xdr:cNvGrpSpPr>
          <a:grpSpLocks/>
        </xdr:cNvGrpSpPr>
      </xdr:nvGrpSpPr>
      <xdr:grpSpPr>
        <a:xfrm>
          <a:off x="1304925" y="16811625"/>
          <a:ext cx="1590675" cy="219075"/>
          <a:chOff x="291" y="0"/>
          <a:chExt cx="2895317" cy="6962775"/>
        </a:xfrm>
        <a:solidFill>
          <a:srgbClr val="FFFFFF"/>
        </a:solidFill>
      </xdr:grpSpPr>
    </xdr:grpSp>
    <xdr:clientData/>
  </xdr:twoCellAnchor>
  <xdr:twoCellAnchor>
    <xdr:from>
      <xdr:col>1</xdr:col>
      <xdr:colOff>57150</xdr:colOff>
      <xdr:row>82</xdr:row>
      <xdr:rowOff>161925</xdr:rowOff>
    </xdr:from>
    <xdr:to>
      <xdr:col>3</xdr:col>
      <xdr:colOff>361950</xdr:colOff>
      <xdr:row>84</xdr:row>
      <xdr:rowOff>0</xdr:rowOff>
    </xdr:to>
    <xdr:grpSp>
      <xdr:nvGrpSpPr>
        <xdr:cNvPr id="249" name="Group 5037" hidden="1"/>
        <xdr:cNvGrpSpPr>
          <a:grpSpLocks/>
        </xdr:cNvGrpSpPr>
      </xdr:nvGrpSpPr>
      <xdr:grpSpPr>
        <a:xfrm>
          <a:off x="1304925" y="17002125"/>
          <a:ext cx="1590675" cy="219075"/>
          <a:chOff x="291" y="0"/>
          <a:chExt cx="2895317" cy="6962775"/>
        </a:xfrm>
        <a:solidFill>
          <a:srgbClr val="FFFFFF"/>
        </a:solidFill>
      </xdr:grpSpPr>
    </xdr:grpSp>
    <xdr:clientData/>
  </xdr:twoCellAnchor>
  <xdr:twoCellAnchor>
    <xdr:from>
      <xdr:col>1</xdr:col>
      <xdr:colOff>57150</xdr:colOff>
      <xdr:row>83</xdr:row>
      <xdr:rowOff>161925</xdr:rowOff>
    </xdr:from>
    <xdr:to>
      <xdr:col>3</xdr:col>
      <xdr:colOff>361950</xdr:colOff>
      <xdr:row>85</xdr:row>
      <xdr:rowOff>0</xdr:rowOff>
    </xdr:to>
    <xdr:grpSp>
      <xdr:nvGrpSpPr>
        <xdr:cNvPr id="253" name="Group 5038" hidden="1"/>
        <xdr:cNvGrpSpPr>
          <a:grpSpLocks/>
        </xdr:cNvGrpSpPr>
      </xdr:nvGrpSpPr>
      <xdr:grpSpPr>
        <a:xfrm>
          <a:off x="1304925" y="17192625"/>
          <a:ext cx="1590675" cy="219075"/>
          <a:chOff x="291" y="0"/>
          <a:chExt cx="2895317" cy="6962775"/>
        </a:xfrm>
        <a:solidFill>
          <a:srgbClr val="FFFFFF"/>
        </a:solidFill>
      </xdr:grpSpPr>
    </xdr:grpSp>
    <xdr:clientData/>
  </xdr:twoCellAnchor>
  <xdr:twoCellAnchor>
    <xdr:from>
      <xdr:col>1</xdr:col>
      <xdr:colOff>57150</xdr:colOff>
      <xdr:row>84</xdr:row>
      <xdr:rowOff>161925</xdr:rowOff>
    </xdr:from>
    <xdr:to>
      <xdr:col>3</xdr:col>
      <xdr:colOff>361950</xdr:colOff>
      <xdr:row>86</xdr:row>
      <xdr:rowOff>0</xdr:rowOff>
    </xdr:to>
    <xdr:grpSp>
      <xdr:nvGrpSpPr>
        <xdr:cNvPr id="257" name="Group 5039" hidden="1"/>
        <xdr:cNvGrpSpPr>
          <a:grpSpLocks/>
        </xdr:cNvGrpSpPr>
      </xdr:nvGrpSpPr>
      <xdr:grpSpPr>
        <a:xfrm>
          <a:off x="1304925" y="17383125"/>
          <a:ext cx="1590675" cy="219075"/>
          <a:chOff x="291" y="0"/>
          <a:chExt cx="2895317" cy="6962775"/>
        </a:xfrm>
        <a:solidFill>
          <a:srgbClr val="FFFFFF"/>
        </a:solidFill>
      </xdr:grpSpPr>
    </xdr:grpSp>
    <xdr:clientData/>
  </xdr:twoCellAnchor>
  <xdr:twoCellAnchor>
    <xdr:from>
      <xdr:col>1</xdr:col>
      <xdr:colOff>57150</xdr:colOff>
      <xdr:row>85</xdr:row>
      <xdr:rowOff>161925</xdr:rowOff>
    </xdr:from>
    <xdr:to>
      <xdr:col>3</xdr:col>
      <xdr:colOff>361950</xdr:colOff>
      <xdr:row>87</xdr:row>
      <xdr:rowOff>0</xdr:rowOff>
    </xdr:to>
    <xdr:grpSp>
      <xdr:nvGrpSpPr>
        <xdr:cNvPr id="261" name="Group 5095" hidden="1"/>
        <xdr:cNvGrpSpPr>
          <a:grpSpLocks/>
        </xdr:cNvGrpSpPr>
      </xdr:nvGrpSpPr>
      <xdr:grpSpPr>
        <a:xfrm>
          <a:off x="1304925" y="17573625"/>
          <a:ext cx="1590675" cy="219075"/>
          <a:chOff x="275" y="0"/>
          <a:chExt cx="2895331" cy="6962775"/>
        </a:xfrm>
        <a:solidFill>
          <a:srgbClr val="FFFFFF"/>
        </a:solidFill>
      </xdr:grpSpPr>
    </xdr:grpSp>
    <xdr:clientData/>
  </xdr:twoCellAnchor>
  <xdr:twoCellAnchor>
    <xdr:from>
      <xdr:col>1</xdr:col>
      <xdr:colOff>57150</xdr:colOff>
      <xdr:row>86</xdr:row>
      <xdr:rowOff>161925</xdr:rowOff>
    </xdr:from>
    <xdr:to>
      <xdr:col>3</xdr:col>
      <xdr:colOff>361950</xdr:colOff>
      <xdr:row>88</xdr:row>
      <xdr:rowOff>0</xdr:rowOff>
    </xdr:to>
    <xdr:grpSp>
      <xdr:nvGrpSpPr>
        <xdr:cNvPr id="265" name="Group 5041" hidden="1"/>
        <xdr:cNvGrpSpPr>
          <a:grpSpLocks/>
        </xdr:cNvGrpSpPr>
      </xdr:nvGrpSpPr>
      <xdr:grpSpPr>
        <a:xfrm>
          <a:off x="1304925" y="17764125"/>
          <a:ext cx="1590675" cy="219075"/>
          <a:chOff x="291" y="0"/>
          <a:chExt cx="2895317" cy="6962775"/>
        </a:xfrm>
        <a:solidFill>
          <a:srgbClr val="FFFFFF"/>
        </a:solidFill>
      </xdr:grpSpPr>
    </xdr:grpSp>
    <xdr:clientData/>
  </xdr:twoCellAnchor>
  <xdr:twoCellAnchor>
    <xdr:from>
      <xdr:col>1</xdr:col>
      <xdr:colOff>57150</xdr:colOff>
      <xdr:row>87</xdr:row>
      <xdr:rowOff>161925</xdr:rowOff>
    </xdr:from>
    <xdr:to>
      <xdr:col>3</xdr:col>
      <xdr:colOff>361950</xdr:colOff>
      <xdr:row>89</xdr:row>
      <xdr:rowOff>0</xdr:rowOff>
    </xdr:to>
    <xdr:grpSp>
      <xdr:nvGrpSpPr>
        <xdr:cNvPr id="269" name="Group 5042" hidden="1"/>
        <xdr:cNvGrpSpPr>
          <a:grpSpLocks/>
        </xdr:cNvGrpSpPr>
      </xdr:nvGrpSpPr>
      <xdr:grpSpPr>
        <a:xfrm>
          <a:off x="1304925" y="17954625"/>
          <a:ext cx="1590675" cy="219075"/>
          <a:chOff x="291" y="0"/>
          <a:chExt cx="2895317" cy="6962775"/>
        </a:xfrm>
        <a:solidFill>
          <a:srgbClr val="FFFFFF"/>
        </a:solidFill>
      </xdr:grpSpPr>
    </xdr:grpSp>
    <xdr:clientData/>
  </xdr:twoCellAnchor>
  <xdr:twoCellAnchor>
    <xdr:from>
      <xdr:col>1</xdr:col>
      <xdr:colOff>57150</xdr:colOff>
      <xdr:row>88</xdr:row>
      <xdr:rowOff>161925</xdr:rowOff>
    </xdr:from>
    <xdr:to>
      <xdr:col>3</xdr:col>
      <xdr:colOff>361950</xdr:colOff>
      <xdr:row>90</xdr:row>
      <xdr:rowOff>0</xdr:rowOff>
    </xdr:to>
    <xdr:grpSp>
      <xdr:nvGrpSpPr>
        <xdr:cNvPr id="273" name="Group 5043" hidden="1"/>
        <xdr:cNvGrpSpPr>
          <a:grpSpLocks/>
        </xdr:cNvGrpSpPr>
      </xdr:nvGrpSpPr>
      <xdr:grpSpPr>
        <a:xfrm>
          <a:off x="1304925" y="18145125"/>
          <a:ext cx="1590675" cy="219075"/>
          <a:chOff x="291" y="0"/>
          <a:chExt cx="2895317" cy="6962775"/>
        </a:xfrm>
        <a:solidFill>
          <a:srgbClr val="FFFFFF"/>
        </a:solidFill>
      </xdr:grpSpPr>
    </xdr:grpSp>
    <xdr:clientData/>
  </xdr:twoCellAnchor>
  <xdr:twoCellAnchor>
    <xdr:from>
      <xdr:col>1</xdr:col>
      <xdr:colOff>57150</xdr:colOff>
      <xdr:row>89</xdr:row>
      <xdr:rowOff>161925</xdr:rowOff>
    </xdr:from>
    <xdr:to>
      <xdr:col>3</xdr:col>
      <xdr:colOff>361950</xdr:colOff>
      <xdr:row>91</xdr:row>
      <xdr:rowOff>0</xdr:rowOff>
    </xdr:to>
    <xdr:grpSp>
      <xdr:nvGrpSpPr>
        <xdr:cNvPr id="277" name="Group 5044" hidden="1"/>
        <xdr:cNvGrpSpPr>
          <a:grpSpLocks/>
        </xdr:cNvGrpSpPr>
      </xdr:nvGrpSpPr>
      <xdr:grpSpPr>
        <a:xfrm>
          <a:off x="1304925" y="18335625"/>
          <a:ext cx="1590675" cy="219075"/>
          <a:chOff x="291" y="0"/>
          <a:chExt cx="2895317" cy="6962775"/>
        </a:xfrm>
        <a:solidFill>
          <a:srgbClr val="FFFFFF"/>
        </a:solidFill>
      </xdr:grpSpPr>
    </xdr:grpSp>
    <xdr:clientData/>
  </xdr:twoCellAnchor>
  <xdr:twoCellAnchor>
    <xdr:from>
      <xdr:col>1</xdr:col>
      <xdr:colOff>57150</xdr:colOff>
      <xdr:row>90</xdr:row>
      <xdr:rowOff>161925</xdr:rowOff>
    </xdr:from>
    <xdr:to>
      <xdr:col>3</xdr:col>
      <xdr:colOff>361950</xdr:colOff>
      <xdr:row>92</xdr:row>
      <xdr:rowOff>0</xdr:rowOff>
    </xdr:to>
    <xdr:grpSp>
      <xdr:nvGrpSpPr>
        <xdr:cNvPr id="281" name="Group 5045" hidden="1"/>
        <xdr:cNvGrpSpPr>
          <a:grpSpLocks/>
        </xdr:cNvGrpSpPr>
      </xdr:nvGrpSpPr>
      <xdr:grpSpPr>
        <a:xfrm>
          <a:off x="1304925" y="18526125"/>
          <a:ext cx="1590675" cy="219075"/>
          <a:chOff x="291" y="0"/>
          <a:chExt cx="2895317" cy="6962775"/>
        </a:xfrm>
        <a:solidFill>
          <a:srgbClr val="FFFFFF"/>
        </a:solidFill>
      </xdr:grpSpPr>
    </xdr:grpSp>
    <xdr:clientData/>
  </xdr:twoCellAnchor>
  <xdr:twoCellAnchor>
    <xdr:from>
      <xdr:col>1</xdr:col>
      <xdr:colOff>57150</xdr:colOff>
      <xdr:row>91</xdr:row>
      <xdr:rowOff>161925</xdr:rowOff>
    </xdr:from>
    <xdr:to>
      <xdr:col>3</xdr:col>
      <xdr:colOff>361950</xdr:colOff>
      <xdr:row>93</xdr:row>
      <xdr:rowOff>0</xdr:rowOff>
    </xdr:to>
    <xdr:grpSp>
      <xdr:nvGrpSpPr>
        <xdr:cNvPr id="285" name="Group 5046" hidden="1"/>
        <xdr:cNvGrpSpPr>
          <a:grpSpLocks/>
        </xdr:cNvGrpSpPr>
      </xdr:nvGrpSpPr>
      <xdr:grpSpPr>
        <a:xfrm>
          <a:off x="1304925" y="18716625"/>
          <a:ext cx="1590675" cy="219075"/>
          <a:chOff x="291" y="0"/>
          <a:chExt cx="2895317" cy="6962775"/>
        </a:xfrm>
        <a:solidFill>
          <a:srgbClr val="FFFFFF"/>
        </a:solidFill>
      </xdr:grpSpPr>
    </xdr:grpSp>
    <xdr:clientData/>
  </xdr:twoCellAnchor>
  <xdr:twoCellAnchor>
    <xdr:from>
      <xdr:col>1</xdr:col>
      <xdr:colOff>57150</xdr:colOff>
      <xdr:row>92</xdr:row>
      <xdr:rowOff>161925</xdr:rowOff>
    </xdr:from>
    <xdr:to>
      <xdr:col>3</xdr:col>
      <xdr:colOff>361950</xdr:colOff>
      <xdr:row>94</xdr:row>
      <xdr:rowOff>0</xdr:rowOff>
    </xdr:to>
    <xdr:grpSp>
      <xdr:nvGrpSpPr>
        <xdr:cNvPr id="289" name="Group 5047" hidden="1"/>
        <xdr:cNvGrpSpPr>
          <a:grpSpLocks/>
        </xdr:cNvGrpSpPr>
      </xdr:nvGrpSpPr>
      <xdr:grpSpPr>
        <a:xfrm>
          <a:off x="1304925" y="18907125"/>
          <a:ext cx="1590675" cy="219075"/>
          <a:chOff x="291" y="0"/>
          <a:chExt cx="2895317" cy="6962775"/>
        </a:xfrm>
        <a:solidFill>
          <a:srgbClr val="FFFFFF"/>
        </a:solidFill>
      </xdr:grpSpPr>
    </xdr:grpSp>
    <xdr:clientData/>
  </xdr:twoCellAnchor>
  <xdr:twoCellAnchor>
    <xdr:from>
      <xdr:col>1</xdr:col>
      <xdr:colOff>57150</xdr:colOff>
      <xdr:row>93</xdr:row>
      <xdr:rowOff>161925</xdr:rowOff>
    </xdr:from>
    <xdr:to>
      <xdr:col>3</xdr:col>
      <xdr:colOff>361950</xdr:colOff>
      <xdr:row>95</xdr:row>
      <xdr:rowOff>0</xdr:rowOff>
    </xdr:to>
    <xdr:grpSp>
      <xdr:nvGrpSpPr>
        <xdr:cNvPr id="293" name="Group 5048" hidden="1"/>
        <xdr:cNvGrpSpPr>
          <a:grpSpLocks/>
        </xdr:cNvGrpSpPr>
      </xdr:nvGrpSpPr>
      <xdr:grpSpPr>
        <a:xfrm>
          <a:off x="1304925" y="19097625"/>
          <a:ext cx="1590675" cy="219075"/>
          <a:chOff x="291" y="0"/>
          <a:chExt cx="2895317" cy="6962775"/>
        </a:xfrm>
        <a:solidFill>
          <a:srgbClr val="FFFFFF"/>
        </a:solidFill>
      </xdr:grpSpPr>
    </xdr:grpSp>
    <xdr:clientData/>
  </xdr:twoCellAnchor>
  <xdr:twoCellAnchor>
    <xdr:from>
      <xdr:col>1</xdr:col>
      <xdr:colOff>57150</xdr:colOff>
      <xdr:row>94</xdr:row>
      <xdr:rowOff>161925</xdr:rowOff>
    </xdr:from>
    <xdr:to>
      <xdr:col>3</xdr:col>
      <xdr:colOff>361950</xdr:colOff>
      <xdr:row>96</xdr:row>
      <xdr:rowOff>0</xdr:rowOff>
    </xdr:to>
    <xdr:grpSp>
      <xdr:nvGrpSpPr>
        <xdr:cNvPr id="297" name="Group 5049" hidden="1"/>
        <xdr:cNvGrpSpPr>
          <a:grpSpLocks/>
        </xdr:cNvGrpSpPr>
      </xdr:nvGrpSpPr>
      <xdr:grpSpPr>
        <a:xfrm>
          <a:off x="1304925" y="19288125"/>
          <a:ext cx="1590675" cy="219075"/>
          <a:chOff x="291" y="0"/>
          <a:chExt cx="2895317" cy="6962775"/>
        </a:xfrm>
        <a:solidFill>
          <a:srgbClr val="FFFFFF"/>
        </a:solidFill>
      </xdr:grpSpPr>
    </xdr:grpSp>
    <xdr:clientData/>
  </xdr:twoCellAnchor>
  <xdr:twoCellAnchor>
    <xdr:from>
      <xdr:col>1</xdr:col>
      <xdr:colOff>57150</xdr:colOff>
      <xdr:row>95</xdr:row>
      <xdr:rowOff>161925</xdr:rowOff>
    </xdr:from>
    <xdr:to>
      <xdr:col>3</xdr:col>
      <xdr:colOff>361950</xdr:colOff>
      <xdr:row>97</xdr:row>
      <xdr:rowOff>0</xdr:rowOff>
    </xdr:to>
    <xdr:grpSp>
      <xdr:nvGrpSpPr>
        <xdr:cNvPr id="301" name="Group 5050" hidden="1"/>
        <xdr:cNvGrpSpPr>
          <a:grpSpLocks/>
        </xdr:cNvGrpSpPr>
      </xdr:nvGrpSpPr>
      <xdr:grpSpPr>
        <a:xfrm>
          <a:off x="1304925" y="19478625"/>
          <a:ext cx="1590675" cy="219075"/>
          <a:chOff x="291" y="0"/>
          <a:chExt cx="2895317" cy="6962775"/>
        </a:xfrm>
        <a:solidFill>
          <a:srgbClr val="FFFFFF"/>
        </a:solidFill>
      </xdr:grpSpPr>
    </xdr:grpSp>
    <xdr:clientData/>
  </xdr:twoCellAnchor>
  <xdr:twoCellAnchor>
    <xdr:from>
      <xdr:col>1</xdr:col>
      <xdr:colOff>57150</xdr:colOff>
      <xdr:row>96</xdr:row>
      <xdr:rowOff>161925</xdr:rowOff>
    </xdr:from>
    <xdr:to>
      <xdr:col>3</xdr:col>
      <xdr:colOff>361950</xdr:colOff>
      <xdr:row>98</xdr:row>
      <xdr:rowOff>0</xdr:rowOff>
    </xdr:to>
    <xdr:grpSp>
      <xdr:nvGrpSpPr>
        <xdr:cNvPr id="305" name="Group 5051" hidden="1"/>
        <xdr:cNvGrpSpPr>
          <a:grpSpLocks/>
        </xdr:cNvGrpSpPr>
      </xdr:nvGrpSpPr>
      <xdr:grpSpPr>
        <a:xfrm>
          <a:off x="1304925" y="19669125"/>
          <a:ext cx="1590675" cy="219075"/>
          <a:chOff x="291" y="0"/>
          <a:chExt cx="2895317" cy="6962775"/>
        </a:xfrm>
        <a:solidFill>
          <a:srgbClr val="FFFFFF"/>
        </a:solidFill>
      </xdr:grpSpPr>
    </xdr:grpSp>
    <xdr:clientData/>
  </xdr:twoCellAnchor>
  <xdr:twoCellAnchor>
    <xdr:from>
      <xdr:col>1</xdr:col>
      <xdr:colOff>57150</xdr:colOff>
      <xdr:row>97</xdr:row>
      <xdr:rowOff>161925</xdr:rowOff>
    </xdr:from>
    <xdr:to>
      <xdr:col>3</xdr:col>
      <xdr:colOff>361950</xdr:colOff>
      <xdr:row>99</xdr:row>
      <xdr:rowOff>0</xdr:rowOff>
    </xdr:to>
    <xdr:grpSp>
      <xdr:nvGrpSpPr>
        <xdr:cNvPr id="309" name="Group 5052" hidden="1"/>
        <xdr:cNvGrpSpPr>
          <a:grpSpLocks/>
        </xdr:cNvGrpSpPr>
      </xdr:nvGrpSpPr>
      <xdr:grpSpPr>
        <a:xfrm>
          <a:off x="1304925" y="19859625"/>
          <a:ext cx="1590675" cy="219075"/>
          <a:chOff x="291" y="0"/>
          <a:chExt cx="2895317" cy="6962775"/>
        </a:xfrm>
        <a:solidFill>
          <a:srgbClr val="FFFFFF"/>
        </a:solidFill>
      </xdr:grpSpPr>
    </xdr:grpSp>
    <xdr:clientData/>
  </xdr:twoCellAnchor>
  <xdr:twoCellAnchor>
    <xdr:from>
      <xdr:col>1</xdr:col>
      <xdr:colOff>57150</xdr:colOff>
      <xdr:row>98</xdr:row>
      <xdr:rowOff>161925</xdr:rowOff>
    </xdr:from>
    <xdr:to>
      <xdr:col>3</xdr:col>
      <xdr:colOff>361950</xdr:colOff>
      <xdr:row>100</xdr:row>
      <xdr:rowOff>0</xdr:rowOff>
    </xdr:to>
    <xdr:grpSp>
      <xdr:nvGrpSpPr>
        <xdr:cNvPr id="313" name="Group 5053" hidden="1"/>
        <xdr:cNvGrpSpPr>
          <a:grpSpLocks/>
        </xdr:cNvGrpSpPr>
      </xdr:nvGrpSpPr>
      <xdr:grpSpPr>
        <a:xfrm>
          <a:off x="1304925" y="20050125"/>
          <a:ext cx="1590675" cy="219075"/>
          <a:chOff x="291" y="0"/>
          <a:chExt cx="2895317" cy="6962775"/>
        </a:xfrm>
        <a:solidFill>
          <a:srgbClr val="FFFFFF"/>
        </a:solidFill>
      </xdr:grpSpPr>
    </xdr:grpSp>
    <xdr:clientData/>
  </xdr:twoCellAnchor>
  <xdr:twoCellAnchor>
    <xdr:from>
      <xdr:col>1</xdr:col>
      <xdr:colOff>57150</xdr:colOff>
      <xdr:row>99</xdr:row>
      <xdr:rowOff>161925</xdr:rowOff>
    </xdr:from>
    <xdr:to>
      <xdr:col>3</xdr:col>
      <xdr:colOff>361950</xdr:colOff>
      <xdr:row>101</xdr:row>
      <xdr:rowOff>0</xdr:rowOff>
    </xdr:to>
    <xdr:grpSp>
      <xdr:nvGrpSpPr>
        <xdr:cNvPr id="317" name="Group 5054" hidden="1"/>
        <xdr:cNvGrpSpPr>
          <a:grpSpLocks/>
        </xdr:cNvGrpSpPr>
      </xdr:nvGrpSpPr>
      <xdr:grpSpPr>
        <a:xfrm>
          <a:off x="1304925" y="20240625"/>
          <a:ext cx="1590675" cy="219075"/>
          <a:chOff x="291" y="0"/>
          <a:chExt cx="2895317" cy="6962775"/>
        </a:xfrm>
        <a:solidFill>
          <a:srgbClr val="FFFFFF"/>
        </a:solidFill>
      </xdr:grpSpPr>
    </xdr:grpSp>
    <xdr:clientData/>
  </xdr:twoCellAnchor>
  <xdr:twoCellAnchor>
    <xdr:from>
      <xdr:col>1</xdr:col>
      <xdr:colOff>57150</xdr:colOff>
      <xdr:row>101</xdr:row>
      <xdr:rowOff>9525</xdr:rowOff>
    </xdr:from>
    <xdr:to>
      <xdr:col>3</xdr:col>
      <xdr:colOff>361950</xdr:colOff>
      <xdr:row>103</xdr:row>
      <xdr:rowOff>0</xdr:rowOff>
    </xdr:to>
    <xdr:grpSp>
      <xdr:nvGrpSpPr>
        <xdr:cNvPr id="321" name="Group 5055" hidden="1"/>
        <xdr:cNvGrpSpPr>
          <a:grpSpLocks/>
        </xdr:cNvGrpSpPr>
      </xdr:nvGrpSpPr>
      <xdr:grpSpPr>
        <a:xfrm>
          <a:off x="1304925" y="20469225"/>
          <a:ext cx="1590675" cy="192405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25" name="Group 5057"/>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29" name="Group 5058"/>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33" name="Group 5059"/>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37" name="Group 5060"/>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41" name="Group 5061"/>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45" name="Group 5062"/>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49" name="Group 5063"/>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53" name="Group 5064"/>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57" name="Group 5065"/>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61" name="Group 5066"/>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65" name="Group 5067"/>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69" name="Group 5068"/>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73" name="Group 5069"/>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77" name="Group 5070"/>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81" name="Group 5071"/>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85" name="Group 5072"/>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89" name="Group 5073"/>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93" name="Group 5074"/>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97" name="Group 5075"/>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01" name="Group 5076"/>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05" name="Group 5077"/>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09" name="Group 5078"/>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13" name="Group 5079"/>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17" name="Group 5080"/>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21" name="Group 5081"/>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25" name="Group 5082"/>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29" name="Group 5083"/>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33" name="Group 5084"/>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37" name="Group 5085"/>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41" name="Group 5086"/>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45" name="Group 5087"/>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49" name="Group 5088"/>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53" name="Group 5089"/>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57" name="Group 5090"/>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61" name="Group 5092"/>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65" name="Group 5093"/>
        <xdr:cNvGrpSpPr>
          <a:grpSpLocks/>
        </xdr:cNvGrpSpPr>
      </xdr:nvGrpSpPr>
      <xdr:grpSpPr>
        <a:xfrm>
          <a:off x="1304925" y="20631150"/>
          <a:ext cx="1590675" cy="0"/>
          <a:chOff x="291" y="0"/>
          <a:chExt cx="2895317" cy="6962775"/>
        </a:xfrm>
        <a:solidFill>
          <a:srgbClr val="FFFFFF"/>
        </a:solidFill>
      </xdr:grpSpPr>
    </xdr:grpSp>
    <xdr:clientData/>
  </xdr:twoCellAnchor>
  <xdr:twoCellAnchor>
    <xdr:from>
      <xdr:col>1</xdr:col>
      <xdr:colOff>47625</xdr:colOff>
      <xdr:row>18</xdr:row>
      <xdr:rowOff>0</xdr:rowOff>
    </xdr:from>
    <xdr:to>
      <xdr:col>3</xdr:col>
      <xdr:colOff>352425</xdr:colOff>
      <xdr:row>19</xdr:row>
      <xdr:rowOff>28575</xdr:rowOff>
    </xdr:to>
    <xdr:grpSp>
      <xdr:nvGrpSpPr>
        <xdr:cNvPr id="469" name="Group 4971" hidden="1"/>
        <xdr:cNvGrpSpPr>
          <a:grpSpLocks/>
        </xdr:cNvGrpSpPr>
      </xdr:nvGrpSpPr>
      <xdr:grpSpPr>
        <a:xfrm>
          <a:off x="1295400" y="4648200"/>
          <a:ext cx="1590675" cy="219075"/>
          <a:chOff x="134" y="0"/>
          <a:chExt cx="2885951" cy="4676775"/>
        </a:xfrm>
        <a:solidFill>
          <a:srgbClr val="FFFFFF"/>
        </a:solidFill>
      </xdr:grpSpPr>
    </xdr:grpSp>
    <xdr:clientData/>
  </xdr:twoCellAnchor>
  <xdr:twoCellAnchor>
    <xdr:from>
      <xdr:col>1</xdr:col>
      <xdr:colOff>57150</xdr:colOff>
      <xdr:row>34</xdr:row>
      <xdr:rowOff>161925</xdr:rowOff>
    </xdr:from>
    <xdr:to>
      <xdr:col>3</xdr:col>
      <xdr:colOff>361950</xdr:colOff>
      <xdr:row>36</xdr:row>
      <xdr:rowOff>0</xdr:rowOff>
    </xdr:to>
    <xdr:grpSp>
      <xdr:nvGrpSpPr>
        <xdr:cNvPr id="473" name="Group 4989" hidden="1"/>
        <xdr:cNvGrpSpPr>
          <a:grpSpLocks/>
        </xdr:cNvGrpSpPr>
      </xdr:nvGrpSpPr>
      <xdr:grpSpPr>
        <a:xfrm>
          <a:off x="1304925" y="7858125"/>
          <a:ext cx="1590675" cy="219075"/>
          <a:chOff x="137" y="0"/>
          <a:chExt cx="2895470" cy="6962775"/>
        </a:xfrm>
        <a:solidFill>
          <a:srgbClr val="FFFFFF"/>
        </a:solidFill>
      </xdr:grpSpPr>
    </xdr:grpSp>
    <xdr:clientData/>
  </xdr:twoCellAnchor>
  <xdr:twoCellAnchor>
    <xdr:from>
      <xdr:col>1</xdr:col>
      <xdr:colOff>57150</xdr:colOff>
      <xdr:row>35</xdr:row>
      <xdr:rowOff>161925</xdr:rowOff>
    </xdr:from>
    <xdr:to>
      <xdr:col>3</xdr:col>
      <xdr:colOff>361950</xdr:colOff>
      <xdr:row>37</xdr:row>
      <xdr:rowOff>0</xdr:rowOff>
    </xdr:to>
    <xdr:grpSp>
      <xdr:nvGrpSpPr>
        <xdr:cNvPr id="477" name="Group 4990" hidden="1"/>
        <xdr:cNvGrpSpPr>
          <a:grpSpLocks/>
        </xdr:cNvGrpSpPr>
      </xdr:nvGrpSpPr>
      <xdr:grpSpPr>
        <a:xfrm>
          <a:off x="1304925" y="8048625"/>
          <a:ext cx="1590675" cy="219075"/>
          <a:chOff x="137" y="0"/>
          <a:chExt cx="2895470" cy="6962775"/>
        </a:xfrm>
        <a:solidFill>
          <a:srgbClr val="FFFFFF"/>
        </a:solidFill>
      </xdr:grpSpPr>
    </xdr:grpSp>
    <xdr:clientData/>
  </xdr:twoCellAnchor>
  <xdr:twoCellAnchor>
    <xdr:from>
      <xdr:col>1</xdr:col>
      <xdr:colOff>47625</xdr:colOff>
      <xdr:row>19</xdr:row>
      <xdr:rowOff>0</xdr:rowOff>
    </xdr:from>
    <xdr:to>
      <xdr:col>3</xdr:col>
      <xdr:colOff>352425</xdr:colOff>
      <xdr:row>20</xdr:row>
      <xdr:rowOff>28575</xdr:rowOff>
    </xdr:to>
    <xdr:grpSp>
      <xdr:nvGrpSpPr>
        <xdr:cNvPr id="481" name="Group 4971" hidden="1"/>
        <xdr:cNvGrpSpPr>
          <a:grpSpLocks/>
        </xdr:cNvGrpSpPr>
      </xdr:nvGrpSpPr>
      <xdr:grpSpPr>
        <a:xfrm>
          <a:off x="1295400" y="4838700"/>
          <a:ext cx="1590675" cy="219075"/>
          <a:chOff x="134" y="0"/>
          <a:chExt cx="2885951" cy="4676775"/>
        </a:xfrm>
        <a:solidFill>
          <a:srgbClr val="FFFFFF"/>
        </a:solidFill>
      </xdr:grpSpPr>
    </xdr:grpSp>
    <xdr:clientData/>
  </xdr:twoCellAnchor>
  <xdr:twoCellAnchor>
    <xdr:from>
      <xdr:col>1</xdr:col>
      <xdr:colOff>47625</xdr:colOff>
      <xdr:row>20</xdr:row>
      <xdr:rowOff>0</xdr:rowOff>
    </xdr:from>
    <xdr:to>
      <xdr:col>3</xdr:col>
      <xdr:colOff>352425</xdr:colOff>
      <xdr:row>21</xdr:row>
      <xdr:rowOff>28575</xdr:rowOff>
    </xdr:to>
    <xdr:grpSp>
      <xdr:nvGrpSpPr>
        <xdr:cNvPr id="485" name="Group 4971" hidden="1"/>
        <xdr:cNvGrpSpPr>
          <a:grpSpLocks/>
        </xdr:cNvGrpSpPr>
      </xdr:nvGrpSpPr>
      <xdr:grpSpPr>
        <a:xfrm>
          <a:off x="1295400" y="5029200"/>
          <a:ext cx="1590675" cy="219075"/>
          <a:chOff x="134" y="0"/>
          <a:chExt cx="2885951" cy="4676775"/>
        </a:xfrm>
        <a:solidFill>
          <a:srgbClr val="FFFFFF"/>
        </a:solidFill>
      </xdr:grpSpPr>
    </xdr:grpSp>
    <xdr:clientData/>
  </xdr:twoCellAnchor>
  <xdr:twoCellAnchor>
    <xdr:from>
      <xdr:col>1</xdr:col>
      <xdr:colOff>47625</xdr:colOff>
      <xdr:row>21</xdr:row>
      <xdr:rowOff>0</xdr:rowOff>
    </xdr:from>
    <xdr:to>
      <xdr:col>3</xdr:col>
      <xdr:colOff>352425</xdr:colOff>
      <xdr:row>22</xdr:row>
      <xdr:rowOff>28575</xdr:rowOff>
    </xdr:to>
    <xdr:grpSp>
      <xdr:nvGrpSpPr>
        <xdr:cNvPr id="489" name="Group 4971" hidden="1"/>
        <xdr:cNvGrpSpPr>
          <a:grpSpLocks/>
        </xdr:cNvGrpSpPr>
      </xdr:nvGrpSpPr>
      <xdr:grpSpPr>
        <a:xfrm>
          <a:off x="1295400" y="5219700"/>
          <a:ext cx="1590675" cy="219075"/>
          <a:chOff x="134" y="0"/>
          <a:chExt cx="2885951" cy="4676775"/>
        </a:xfrm>
        <a:solidFill>
          <a:srgbClr val="FFFFFF"/>
        </a:solidFill>
      </xdr:grpSpPr>
    </xdr:grpSp>
    <xdr:clientData/>
  </xdr:twoCellAnchor>
  <xdr:twoCellAnchor>
    <xdr:from>
      <xdr:col>1</xdr:col>
      <xdr:colOff>47625</xdr:colOff>
      <xdr:row>22</xdr:row>
      <xdr:rowOff>0</xdr:rowOff>
    </xdr:from>
    <xdr:to>
      <xdr:col>3</xdr:col>
      <xdr:colOff>352425</xdr:colOff>
      <xdr:row>23</xdr:row>
      <xdr:rowOff>28575</xdr:rowOff>
    </xdr:to>
    <xdr:grpSp>
      <xdr:nvGrpSpPr>
        <xdr:cNvPr id="493" name="Group 4971" hidden="1"/>
        <xdr:cNvGrpSpPr>
          <a:grpSpLocks/>
        </xdr:cNvGrpSpPr>
      </xdr:nvGrpSpPr>
      <xdr:grpSpPr>
        <a:xfrm>
          <a:off x="1295400" y="5410200"/>
          <a:ext cx="1590675" cy="219075"/>
          <a:chOff x="134" y="0"/>
          <a:chExt cx="2885951" cy="4676775"/>
        </a:xfrm>
        <a:solidFill>
          <a:srgbClr val="FFFFFF"/>
        </a:solidFill>
      </xdr:grpSpPr>
    </xdr:grpSp>
    <xdr:clientData/>
  </xdr:twoCellAnchor>
  <xdr:twoCellAnchor>
    <xdr:from>
      <xdr:col>1</xdr:col>
      <xdr:colOff>47625</xdr:colOff>
      <xdr:row>23</xdr:row>
      <xdr:rowOff>0</xdr:rowOff>
    </xdr:from>
    <xdr:to>
      <xdr:col>3</xdr:col>
      <xdr:colOff>352425</xdr:colOff>
      <xdr:row>24</xdr:row>
      <xdr:rowOff>28575</xdr:rowOff>
    </xdr:to>
    <xdr:grpSp>
      <xdr:nvGrpSpPr>
        <xdr:cNvPr id="497" name="Group 4971" hidden="1"/>
        <xdr:cNvGrpSpPr>
          <a:grpSpLocks/>
        </xdr:cNvGrpSpPr>
      </xdr:nvGrpSpPr>
      <xdr:grpSpPr>
        <a:xfrm>
          <a:off x="1295400" y="5600700"/>
          <a:ext cx="1590675" cy="219075"/>
          <a:chOff x="134" y="0"/>
          <a:chExt cx="2885951" cy="4676775"/>
        </a:xfrm>
        <a:solidFill>
          <a:srgbClr val="FFFFFF"/>
        </a:solidFill>
      </xdr:grpSpPr>
    </xdr:grpSp>
    <xdr:clientData/>
  </xdr:twoCellAnchor>
  <xdr:twoCellAnchor>
    <xdr:from>
      <xdr:col>1</xdr:col>
      <xdr:colOff>47625</xdr:colOff>
      <xdr:row>24</xdr:row>
      <xdr:rowOff>0</xdr:rowOff>
    </xdr:from>
    <xdr:to>
      <xdr:col>3</xdr:col>
      <xdr:colOff>352425</xdr:colOff>
      <xdr:row>25</xdr:row>
      <xdr:rowOff>28575</xdr:rowOff>
    </xdr:to>
    <xdr:grpSp>
      <xdr:nvGrpSpPr>
        <xdr:cNvPr id="501" name="Group 4971" hidden="1"/>
        <xdr:cNvGrpSpPr>
          <a:grpSpLocks/>
        </xdr:cNvGrpSpPr>
      </xdr:nvGrpSpPr>
      <xdr:grpSpPr>
        <a:xfrm>
          <a:off x="1295400" y="5791200"/>
          <a:ext cx="1590675" cy="219075"/>
          <a:chOff x="134" y="0"/>
          <a:chExt cx="2885951" cy="4676775"/>
        </a:xfrm>
        <a:solidFill>
          <a:srgbClr val="FFFFFF"/>
        </a:solidFill>
      </xdr:grpSpPr>
    </xdr:grpSp>
    <xdr:clientData/>
  </xdr:twoCellAnchor>
  <xdr:twoCellAnchor>
    <xdr:from>
      <xdr:col>1</xdr:col>
      <xdr:colOff>47625</xdr:colOff>
      <xdr:row>25</xdr:row>
      <xdr:rowOff>0</xdr:rowOff>
    </xdr:from>
    <xdr:to>
      <xdr:col>3</xdr:col>
      <xdr:colOff>352425</xdr:colOff>
      <xdr:row>26</xdr:row>
      <xdr:rowOff>28575</xdr:rowOff>
    </xdr:to>
    <xdr:grpSp>
      <xdr:nvGrpSpPr>
        <xdr:cNvPr id="505" name="Group 4971" hidden="1"/>
        <xdr:cNvGrpSpPr>
          <a:grpSpLocks/>
        </xdr:cNvGrpSpPr>
      </xdr:nvGrpSpPr>
      <xdr:grpSpPr>
        <a:xfrm>
          <a:off x="1295400" y="5981700"/>
          <a:ext cx="1590675" cy="219075"/>
          <a:chOff x="134" y="0"/>
          <a:chExt cx="2885951" cy="4676775"/>
        </a:xfrm>
        <a:solidFill>
          <a:srgbClr val="FFFFFF"/>
        </a:solidFill>
      </xdr:grpSpPr>
    </xdr:grpSp>
    <xdr:clientData/>
  </xdr:twoCellAnchor>
  <xdr:twoCellAnchor>
    <xdr:from>
      <xdr:col>1</xdr:col>
      <xdr:colOff>47625</xdr:colOff>
      <xdr:row>26</xdr:row>
      <xdr:rowOff>0</xdr:rowOff>
    </xdr:from>
    <xdr:to>
      <xdr:col>3</xdr:col>
      <xdr:colOff>352425</xdr:colOff>
      <xdr:row>27</xdr:row>
      <xdr:rowOff>28575</xdr:rowOff>
    </xdr:to>
    <xdr:grpSp>
      <xdr:nvGrpSpPr>
        <xdr:cNvPr id="509" name="Group 4971" hidden="1"/>
        <xdr:cNvGrpSpPr>
          <a:grpSpLocks/>
        </xdr:cNvGrpSpPr>
      </xdr:nvGrpSpPr>
      <xdr:grpSpPr>
        <a:xfrm>
          <a:off x="1295400" y="6172200"/>
          <a:ext cx="1590675" cy="219075"/>
          <a:chOff x="134" y="0"/>
          <a:chExt cx="2885951" cy="4676775"/>
        </a:xfrm>
        <a:solidFill>
          <a:srgbClr val="FFFFFF"/>
        </a:solidFill>
      </xdr:grpSpPr>
    </xdr:grpSp>
    <xdr:clientData/>
  </xdr:twoCellAnchor>
  <xdr:twoCellAnchor>
    <xdr:from>
      <xdr:col>1</xdr:col>
      <xdr:colOff>47625</xdr:colOff>
      <xdr:row>27</xdr:row>
      <xdr:rowOff>0</xdr:rowOff>
    </xdr:from>
    <xdr:to>
      <xdr:col>3</xdr:col>
      <xdr:colOff>352425</xdr:colOff>
      <xdr:row>28</xdr:row>
      <xdr:rowOff>28575</xdr:rowOff>
    </xdr:to>
    <xdr:grpSp>
      <xdr:nvGrpSpPr>
        <xdr:cNvPr id="513" name="Group 4971" hidden="1"/>
        <xdr:cNvGrpSpPr>
          <a:grpSpLocks/>
        </xdr:cNvGrpSpPr>
      </xdr:nvGrpSpPr>
      <xdr:grpSpPr>
        <a:xfrm>
          <a:off x="1295400" y="6362700"/>
          <a:ext cx="1590675" cy="219075"/>
          <a:chOff x="134" y="0"/>
          <a:chExt cx="2885951" cy="4676775"/>
        </a:xfrm>
        <a:solidFill>
          <a:srgbClr val="FFFFFF"/>
        </a:solidFill>
      </xdr:grpSpPr>
    </xdr:grpSp>
    <xdr:clientData/>
  </xdr:twoCellAnchor>
  <xdr:twoCellAnchor>
    <xdr:from>
      <xdr:col>1</xdr:col>
      <xdr:colOff>47625</xdr:colOff>
      <xdr:row>28</xdr:row>
      <xdr:rowOff>0</xdr:rowOff>
    </xdr:from>
    <xdr:to>
      <xdr:col>3</xdr:col>
      <xdr:colOff>352425</xdr:colOff>
      <xdr:row>29</xdr:row>
      <xdr:rowOff>28575</xdr:rowOff>
    </xdr:to>
    <xdr:grpSp>
      <xdr:nvGrpSpPr>
        <xdr:cNvPr id="517" name="Group 4971" hidden="1"/>
        <xdr:cNvGrpSpPr>
          <a:grpSpLocks/>
        </xdr:cNvGrpSpPr>
      </xdr:nvGrpSpPr>
      <xdr:grpSpPr>
        <a:xfrm>
          <a:off x="1295400" y="6553200"/>
          <a:ext cx="1590675" cy="219075"/>
          <a:chOff x="134" y="0"/>
          <a:chExt cx="2885951" cy="4676775"/>
        </a:xfrm>
        <a:solidFill>
          <a:srgbClr val="FFFFFF"/>
        </a:solidFill>
      </xdr:grpSpPr>
    </xdr:grpSp>
    <xdr:clientData/>
  </xdr:twoCellAnchor>
  <xdr:twoCellAnchor>
    <xdr:from>
      <xdr:col>1</xdr:col>
      <xdr:colOff>47625</xdr:colOff>
      <xdr:row>29</xdr:row>
      <xdr:rowOff>0</xdr:rowOff>
    </xdr:from>
    <xdr:to>
      <xdr:col>3</xdr:col>
      <xdr:colOff>352425</xdr:colOff>
      <xdr:row>30</xdr:row>
      <xdr:rowOff>28575</xdr:rowOff>
    </xdr:to>
    <xdr:grpSp>
      <xdr:nvGrpSpPr>
        <xdr:cNvPr id="521" name="Group 4971" hidden="1"/>
        <xdr:cNvGrpSpPr>
          <a:grpSpLocks/>
        </xdr:cNvGrpSpPr>
      </xdr:nvGrpSpPr>
      <xdr:grpSpPr>
        <a:xfrm>
          <a:off x="1295400" y="6743700"/>
          <a:ext cx="1590675" cy="219075"/>
          <a:chOff x="134" y="0"/>
          <a:chExt cx="2885951" cy="4676775"/>
        </a:xfrm>
        <a:solidFill>
          <a:srgbClr val="FFFFFF"/>
        </a:solidFill>
      </xdr:grpSpPr>
    </xdr:grpSp>
    <xdr:clientData/>
  </xdr:twoCellAnchor>
  <xdr:twoCellAnchor>
    <xdr:from>
      <xdr:col>1</xdr:col>
      <xdr:colOff>47625</xdr:colOff>
      <xdr:row>30</xdr:row>
      <xdr:rowOff>0</xdr:rowOff>
    </xdr:from>
    <xdr:to>
      <xdr:col>3</xdr:col>
      <xdr:colOff>352425</xdr:colOff>
      <xdr:row>31</xdr:row>
      <xdr:rowOff>28575</xdr:rowOff>
    </xdr:to>
    <xdr:grpSp>
      <xdr:nvGrpSpPr>
        <xdr:cNvPr id="525" name="Group 4971" hidden="1"/>
        <xdr:cNvGrpSpPr>
          <a:grpSpLocks/>
        </xdr:cNvGrpSpPr>
      </xdr:nvGrpSpPr>
      <xdr:grpSpPr>
        <a:xfrm>
          <a:off x="1295400" y="6934200"/>
          <a:ext cx="1590675" cy="219075"/>
          <a:chOff x="134" y="0"/>
          <a:chExt cx="2885951" cy="4676775"/>
        </a:xfrm>
        <a:solidFill>
          <a:srgbClr val="FFFFFF"/>
        </a:solidFill>
      </xdr:grpSpPr>
    </xdr:grpSp>
    <xdr:clientData/>
  </xdr:twoCellAnchor>
  <xdr:twoCellAnchor>
    <xdr:from>
      <xdr:col>1</xdr:col>
      <xdr:colOff>47625</xdr:colOff>
      <xdr:row>31</xdr:row>
      <xdr:rowOff>0</xdr:rowOff>
    </xdr:from>
    <xdr:to>
      <xdr:col>3</xdr:col>
      <xdr:colOff>352425</xdr:colOff>
      <xdr:row>32</xdr:row>
      <xdr:rowOff>28575</xdr:rowOff>
    </xdr:to>
    <xdr:grpSp>
      <xdr:nvGrpSpPr>
        <xdr:cNvPr id="529" name="Group 4971" hidden="1"/>
        <xdr:cNvGrpSpPr>
          <a:grpSpLocks/>
        </xdr:cNvGrpSpPr>
      </xdr:nvGrpSpPr>
      <xdr:grpSpPr>
        <a:xfrm>
          <a:off x="1295400" y="7124700"/>
          <a:ext cx="1590675" cy="219075"/>
          <a:chOff x="134" y="0"/>
          <a:chExt cx="2885951" cy="4676775"/>
        </a:xfrm>
        <a:solidFill>
          <a:srgbClr val="FFFFFF"/>
        </a:solidFill>
      </xdr:grpSpPr>
    </xdr:grpSp>
    <xdr:clientData/>
  </xdr:twoCellAnchor>
  <xdr:twoCellAnchor>
    <xdr:from>
      <xdr:col>1</xdr:col>
      <xdr:colOff>47625</xdr:colOff>
      <xdr:row>32</xdr:row>
      <xdr:rowOff>0</xdr:rowOff>
    </xdr:from>
    <xdr:to>
      <xdr:col>3</xdr:col>
      <xdr:colOff>352425</xdr:colOff>
      <xdr:row>33</xdr:row>
      <xdr:rowOff>28575</xdr:rowOff>
    </xdr:to>
    <xdr:grpSp>
      <xdr:nvGrpSpPr>
        <xdr:cNvPr id="533" name="Group 4971" hidden="1"/>
        <xdr:cNvGrpSpPr>
          <a:grpSpLocks/>
        </xdr:cNvGrpSpPr>
      </xdr:nvGrpSpPr>
      <xdr:grpSpPr>
        <a:xfrm>
          <a:off x="1295400" y="7315200"/>
          <a:ext cx="1590675" cy="219075"/>
          <a:chOff x="134" y="0"/>
          <a:chExt cx="2885951" cy="4676775"/>
        </a:xfrm>
        <a:solidFill>
          <a:srgbClr val="FFFFFF"/>
        </a:solidFill>
      </xdr:grpSpPr>
    </xdr:grpSp>
    <xdr:clientData/>
  </xdr:twoCellAnchor>
  <xdr:twoCellAnchor>
    <xdr:from>
      <xdr:col>1</xdr:col>
      <xdr:colOff>47625</xdr:colOff>
      <xdr:row>33</xdr:row>
      <xdr:rowOff>0</xdr:rowOff>
    </xdr:from>
    <xdr:to>
      <xdr:col>3</xdr:col>
      <xdr:colOff>352425</xdr:colOff>
      <xdr:row>34</xdr:row>
      <xdr:rowOff>28575</xdr:rowOff>
    </xdr:to>
    <xdr:grpSp>
      <xdr:nvGrpSpPr>
        <xdr:cNvPr id="537" name="Group 4971" hidden="1"/>
        <xdr:cNvGrpSpPr>
          <a:grpSpLocks/>
        </xdr:cNvGrpSpPr>
      </xdr:nvGrpSpPr>
      <xdr:grpSpPr>
        <a:xfrm>
          <a:off x="1295400" y="7505700"/>
          <a:ext cx="1590675" cy="219075"/>
          <a:chOff x="134" y="0"/>
          <a:chExt cx="2885951" cy="4676775"/>
        </a:xfrm>
        <a:solidFill>
          <a:srgbClr val="FFFFFF"/>
        </a:solidFill>
      </xdr:grpSpPr>
    </xdr:grpSp>
    <xdr:clientData/>
  </xdr:twoCellAnchor>
  <xdr:twoCellAnchor>
    <xdr:from>
      <xdr:col>1</xdr:col>
      <xdr:colOff>47625</xdr:colOff>
      <xdr:row>34</xdr:row>
      <xdr:rowOff>0</xdr:rowOff>
    </xdr:from>
    <xdr:to>
      <xdr:col>3</xdr:col>
      <xdr:colOff>352425</xdr:colOff>
      <xdr:row>35</xdr:row>
      <xdr:rowOff>28575</xdr:rowOff>
    </xdr:to>
    <xdr:grpSp>
      <xdr:nvGrpSpPr>
        <xdr:cNvPr id="541" name="Group 4971" hidden="1"/>
        <xdr:cNvGrpSpPr>
          <a:grpSpLocks/>
        </xdr:cNvGrpSpPr>
      </xdr:nvGrpSpPr>
      <xdr:grpSpPr>
        <a:xfrm>
          <a:off x="1295400" y="7696200"/>
          <a:ext cx="1590675" cy="219075"/>
          <a:chOff x="134" y="0"/>
          <a:chExt cx="2885951" cy="4676775"/>
        </a:xfrm>
        <a:solidFill>
          <a:srgbClr val="FFFFFF"/>
        </a:solidFill>
      </xdr:grpSpPr>
    </xdr:grpSp>
    <xdr:clientData/>
  </xdr:twoCellAnchor>
  <xdr:twoCellAnchor>
    <xdr:from>
      <xdr:col>1</xdr:col>
      <xdr:colOff>47625</xdr:colOff>
      <xdr:row>35</xdr:row>
      <xdr:rowOff>0</xdr:rowOff>
    </xdr:from>
    <xdr:to>
      <xdr:col>3</xdr:col>
      <xdr:colOff>352425</xdr:colOff>
      <xdr:row>36</xdr:row>
      <xdr:rowOff>28575</xdr:rowOff>
    </xdr:to>
    <xdr:grpSp>
      <xdr:nvGrpSpPr>
        <xdr:cNvPr id="545" name="Group 4971" hidden="1"/>
        <xdr:cNvGrpSpPr>
          <a:grpSpLocks/>
        </xdr:cNvGrpSpPr>
      </xdr:nvGrpSpPr>
      <xdr:grpSpPr>
        <a:xfrm>
          <a:off x="1295400" y="7886700"/>
          <a:ext cx="1590675" cy="219075"/>
          <a:chOff x="134" y="0"/>
          <a:chExt cx="2885951" cy="4676775"/>
        </a:xfrm>
        <a:solidFill>
          <a:srgbClr val="FFFFFF"/>
        </a:solidFill>
      </xdr:grpSpPr>
    </xdr:grpSp>
    <xdr:clientData/>
  </xdr:twoCellAnchor>
  <xdr:twoCellAnchor>
    <xdr:from>
      <xdr:col>1</xdr:col>
      <xdr:colOff>47625</xdr:colOff>
      <xdr:row>36</xdr:row>
      <xdr:rowOff>0</xdr:rowOff>
    </xdr:from>
    <xdr:to>
      <xdr:col>3</xdr:col>
      <xdr:colOff>352425</xdr:colOff>
      <xdr:row>37</xdr:row>
      <xdr:rowOff>28575</xdr:rowOff>
    </xdr:to>
    <xdr:grpSp>
      <xdr:nvGrpSpPr>
        <xdr:cNvPr id="549" name="Group 4971" hidden="1"/>
        <xdr:cNvGrpSpPr>
          <a:grpSpLocks/>
        </xdr:cNvGrpSpPr>
      </xdr:nvGrpSpPr>
      <xdr:grpSpPr>
        <a:xfrm>
          <a:off x="1295400" y="8077200"/>
          <a:ext cx="1590675" cy="219075"/>
          <a:chOff x="134" y="0"/>
          <a:chExt cx="2885951" cy="4676775"/>
        </a:xfrm>
        <a:solidFill>
          <a:srgbClr val="FFFFFF"/>
        </a:solidFill>
      </xdr:grpSpPr>
    </xdr:grpSp>
    <xdr:clientData/>
  </xdr:twoCellAnchor>
  <xdr:twoCellAnchor>
    <xdr:from>
      <xdr:col>1</xdr:col>
      <xdr:colOff>47625</xdr:colOff>
      <xdr:row>37</xdr:row>
      <xdr:rowOff>0</xdr:rowOff>
    </xdr:from>
    <xdr:to>
      <xdr:col>3</xdr:col>
      <xdr:colOff>352425</xdr:colOff>
      <xdr:row>38</xdr:row>
      <xdr:rowOff>28575</xdr:rowOff>
    </xdr:to>
    <xdr:grpSp>
      <xdr:nvGrpSpPr>
        <xdr:cNvPr id="553" name="Group 4971" hidden="1"/>
        <xdr:cNvGrpSpPr>
          <a:grpSpLocks/>
        </xdr:cNvGrpSpPr>
      </xdr:nvGrpSpPr>
      <xdr:grpSpPr>
        <a:xfrm>
          <a:off x="1295400" y="8267700"/>
          <a:ext cx="1590675" cy="219075"/>
          <a:chOff x="134" y="0"/>
          <a:chExt cx="2885951" cy="4676775"/>
        </a:xfrm>
        <a:solidFill>
          <a:srgbClr val="FFFFFF"/>
        </a:solidFill>
      </xdr:grpSpPr>
    </xdr:grpSp>
    <xdr:clientData/>
  </xdr:twoCellAnchor>
  <xdr:twoCellAnchor>
    <xdr:from>
      <xdr:col>1</xdr:col>
      <xdr:colOff>47625</xdr:colOff>
      <xdr:row>38</xdr:row>
      <xdr:rowOff>0</xdr:rowOff>
    </xdr:from>
    <xdr:to>
      <xdr:col>3</xdr:col>
      <xdr:colOff>352425</xdr:colOff>
      <xdr:row>39</xdr:row>
      <xdr:rowOff>28575</xdr:rowOff>
    </xdr:to>
    <xdr:grpSp>
      <xdr:nvGrpSpPr>
        <xdr:cNvPr id="557" name="Group 4971" hidden="1"/>
        <xdr:cNvGrpSpPr>
          <a:grpSpLocks/>
        </xdr:cNvGrpSpPr>
      </xdr:nvGrpSpPr>
      <xdr:grpSpPr>
        <a:xfrm>
          <a:off x="1295400" y="8458200"/>
          <a:ext cx="1590675" cy="219075"/>
          <a:chOff x="134" y="0"/>
          <a:chExt cx="2885951" cy="4676775"/>
        </a:xfrm>
        <a:solidFill>
          <a:srgbClr val="FFFFFF"/>
        </a:solidFill>
      </xdr:grpSpPr>
    </xdr:grpSp>
    <xdr:clientData/>
  </xdr:twoCellAnchor>
  <xdr:twoCellAnchor>
    <xdr:from>
      <xdr:col>1</xdr:col>
      <xdr:colOff>47625</xdr:colOff>
      <xdr:row>39</xdr:row>
      <xdr:rowOff>0</xdr:rowOff>
    </xdr:from>
    <xdr:to>
      <xdr:col>3</xdr:col>
      <xdr:colOff>352425</xdr:colOff>
      <xdr:row>40</xdr:row>
      <xdr:rowOff>28575</xdr:rowOff>
    </xdr:to>
    <xdr:grpSp>
      <xdr:nvGrpSpPr>
        <xdr:cNvPr id="561" name="Group 4971" hidden="1"/>
        <xdr:cNvGrpSpPr>
          <a:grpSpLocks/>
        </xdr:cNvGrpSpPr>
      </xdr:nvGrpSpPr>
      <xdr:grpSpPr>
        <a:xfrm>
          <a:off x="1295400" y="8648700"/>
          <a:ext cx="1590675" cy="219075"/>
          <a:chOff x="134" y="0"/>
          <a:chExt cx="2885951" cy="4676775"/>
        </a:xfrm>
        <a:solidFill>
          <a:srgbClr val="FFFFFF"/>
        </a:solidFill>
      </xdr:grpSpPr>
    </xdr:grpSp>
    <xdr:clientData/>
  </xdr:twoCellAnchor>
  <xdr:twoCellAnchor>
    <xdr:from>
      <xdr:col>1</xdr:col>
      <xdr:colOff>47625</xdr:colOff>
      <xdr:row>40</xdr:row>
      <xdr:rowOff>0</xdr:rowOff>
    </xdr:from>
    <xdr:to>
      <xdr:col>3</xdr:col>
      <xdr:colOff>352425</xdr:colOff>
      <xdr:row>41</xdr:row>
      <xdr:rowOff>28575</xdr:rowOff>
    </xdr:to>
    <xdr:grpSp>
      <xdr:nvGrpSpPr>
        <xdr:cNvPr id="565" name="Group 4971" hidden="1"/>
        <xdr:cNvGrpSpPr>
          <a:grpSpLocks/>
        </xdr:cNvGrpSpPr>
      </xdr:nvGrpSpPr>
      <xdr:grpSpPr>
        <a:xfrm>
          <a:off x="1295400" y="8839200"/>
          <a:ext cx="1590675" cy="219075"/>
          <a:chOff x="134" y="0"/>
          <a:chExt cx="2885951" cy="4676775"/>
        </a:xfrm>
        <a:solidFill>
          <a:srgbClr val="FFFFFF"/>
        </a:solidFill>
      </xdr:grpSpPr>
    </xdr:grpSp>
    <xdr:clientData/>
  </xdr:twoCellAnchor>
  <xdr:twoCellAnchor>
    <xdr:from>
      <xdr:col>1</xdr:col>
      <xdr:colOff>47625</xdr:colOff>
      <xdr:row>41</xdr:row>
      <xdr:rowOff>0</xdr:rowOff>
    </xdr:from>
    <xdr:to>
      <xdr:col>3</xdr:col>
      <xdr:colOff>352425</xdr:colOff>
      <xdr:row>42</xdr:row>
      <xdr:rowOff>28575</xdr:rowOff>
    </xdr:to>
    <xdr:grpSp>
      <xdr:nvGrpSpPr>
        <xdr:cNvPr id="569" name="Group 4971" hidden="1"/>
        <xdr:cNvGrpSpPr>
          <a:grpSpLocks/>
        </xdr:cNvGrpSpPr>
      </xdr:nvGrpSpPr>
      <xdr:grpSpPr>
        <a:xfrm>
          <a:off x="1295400" y="9029700"/>
          <a:ext cx="1590675" cy="219075"/>
          <a:chOff x="134" y="0"/>
          <a:chExt cx="2885951" cy="4676775"/>
        </a:xfrm>
        <a:solidFill>
          <a:srgbClr val="FFFFFF"/>
        </a:solidFill>
      </xdr:grpSpPr>
    </xdr:grpSp>
    <xdr:clientData/>
  </xdr:twoCellAnchor>
  <xdr:twoCellAnchor>
    <xdr:from>
      <xdr:col>1</xdr:col>
      <xdr:colOff>47625</xdr:colOff>
      <xdr:row>42</xdr:row>
      <xdr:rowOff>0</xdr:rowOff>
    </xdr:from>
    <xdr:to>
      <xdr:col>3</xdr:col>
      <xdr:colOff>352425</xdr:colOff>
      <xdr:row>43</xdr:row>
      <xdr:rowOff>28575</xdr:rowOff>
    </xdr:to>
    <xdr:grpSp>
      <xdr:nvGrpSpPr>
        <xdr:cNvPr id="573" name="Group 4971" hidden="1"/>
        <xdr:cNvGrpSpPr>
          <a:grpSpLocks/>
        </xdr:cNvGrpSpPr>
      </xdr:nvGrpSpPr>
      <xdr:grpSpPr>
        <a:xfrm>
          <a:off x="1295400" y="9220200"/>
          <a:ext cx="1590675" cy="219075"/>
          <a:chOff x="134" y="0"/>
          <a:chExt cx="2885951" cy="4676775"/>
        </a:xfrm>
        <a:solidFill>
          <a:srgbClr val="FFFFFF"/>
        </a:solidFill>
      </xdr:grpSpPr>
    </xdr:grpSp>
    <xdr:clientData/>
  </xdr:twoCellAnchor>
  <xdr:twoCellAnchor>
    <xdr:from>
      <xdr:col>1</xdr:col>
      <xdr:colOff>47625</xdr:colOff>
      <xdr:row>43</xdr:row>
      <xdr:rowOff>0</xdr:rowOff>
    </xdr:from>
    <xdr:to>
      <xdr:col>3</xdr:col>
      <xdr:colOff>352425</xdr:colOff>
      <xdr:row>44</xdr:row>
      <xdr:rowOff>28575</xdr:rowOff>
    </xdr:to>
    <xdr:grpSp>
      <xdr:nvGrpSpPr>
        <xdr:cNvPr id="577" name="Group 4971" hidden="1"/>
        <xdr:cNvGrpSpPr>
          <a:grpSpLocks/>
        </xdr:cNvGrpSpPr>
      </xdr:nvGrpSpPr>
      <xdr:grpSpPr>
        <a:xfrm>
          <a:off x="1295400" y="9410700"/>
          <a:ext cx="1590675" cy="219075"/>
          <a:chOff x="134" y="0"/>
          <a:chExt cx="2885951" cy="4676775"/>
        </a:xfrm>
        <a:solidFill>
          <a:srgbClr val="FFFFFF"/>
        </a:solidFill>
      </xdr:grpSpPr>
    </xdr:grpSp>
    <xdr:clientData/>
  </xdr:twoCellAnchor>
  <xdr:twoCellAnchor>
    <xdr:from>
      <xdr:col>1</xdr:col>
      <xdr:colOff>47625</xdr:colOff>
      <xdr:row>44</xdr:row>
      <xdr:rowOff>0</xdr:rowOff>
    </xdr:from>
    <xdr:to>
      <xdr:col>3</xdr:col>
      <xdr:colOff>352425</xdr:colOff>
      <xdr:row>45</xdr:row>
      <xdr:rowOff>28575</xdr:rowOff>
    </xdr:to>
    <xdr:grpSp>
      <xdr:nvGrpSpPr>
        <xdr:cNvPr id="581" name="Group 4971" hidden="1"/>
        <xdr:cNvGrpSpPr>
          <a:grpSpLocks/>
        </xdr:cNvGrpSpPr>
      </xdr:nvGrpSpPr>
      <xdr:grpSpPr>
        <a:xfrm>
          <a:off x="1295400" y="9601200"/>
          <a:ext cx="1590675" cy="219075"/>
          <a:chOff x="134" y="0"/>
          <a:chExt cx="2885951" cy="4676775"/>
        </a:xfrm>
        <a:solidFill>
          <a:srgbClr val="FFFFFF"/>
        </a:solidFill>
      </xdr:grpSpPr>
    </xdr:grpSp>
    <xdr:clientData/>
  </xdr:twoCellAnchor>
  <xdr:twoCellAnchor>
    <xdr:from>
      <xdr:col>1</xdr:col>
      <xdr:colOff>47625</xdr:colOff>
      <xdr:row>45</xdr:row>
      <xdr:rowOff>0</xdr:rowOff>
    </xdr:from>
    <xdr:to>
      <xdr:col>3</xdr:col>
      <xdr:colOff>352425</xdr:colOff>
      <xdr:row>46</xdr:row>
      <xdr:rowOff>0</xdr:rowOff>
    </xdr:to>
    <xdr:grpSp>
      <xdr:nvGrpSpPr>
        <xdr:cNvPr id="585" name="Group 4971" hidden="1"/>
        <xdr:cNvGrpSpPr>
          <a:grpSpLocks/>
        </xdr:cNvGrpSpPr>
      </xdr:nvGrpSpPr>
      <xdr:grpSpPr>
        <a:xfrm>
          <a:off x="1295400" y="9791700"/>
          <a:ext cx="1590675" cy="190500"/>
          <a:chOff x="134" y="0"/>
          <a:chExt cx="2885951" cy="4676775"/>
        </a:xfrm>
        <a:solidFill>
          <a:srgbClr val="FFFFFF"/>
        </a:solidFill>
      </xdr:grpSpPr>
    </xdr:grpSp>
    <xdr:clientData/>
  </xdr:twoCellAnchor>
  <xdr:twoCellAnchor>
    <xdr:from>
      <xdr:col>1</xdr:col>
      <xdr:colOff>57150</xdr:colOff>
      <xdr:row>45</xdr:row>
      <xdr:rowOff>161925</xdr:rowOff>
    </xdr:from>
    <xdr:to>
      <xdr:col>3</xdr:col>
      <xdr:colOff>361950</xdr:colOff>
      <xdr:row>47</xdr:row>
      <xdr:rowOff>0</xdr:rowOff>
    </xdr:to>
    <xdr:grpSp>
      <xdr:nvGrpSpPr>
        <xdr:cNvPr id="589" name="Group 4993" hidden="1"/>
        <xdr:cNvGrpSpPr>
          <a:grpSpLocks/>
        </xdr:cNvGrpSpPr>
      </xdr:nvGrpSpPr>
      <xdr:grpSpPr>
        <a:xfrm>
          <a:off x="1304925" y="9953625"/>
          <a:ext cx="159067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361950</xdr:colOff>
      <xdr:row>48</xdr:row>
      <xdr:rowOff>0</xdr:rowOff>
    </xdr:to>
    <xdr:grpSp>
      <xdr:nvGrpSpPr>
        <xdr:cNvPr id="593" name="Group 4994" hidden="1"/>
        <xdr:cNvGrpSpPr>
          <a:grpSpLocks/>
        </xdr:cNvGrpSpPr>
      </xdr:nvGrpSpPr>
      <xdr:grpSpPr>
        <a:xfrm>
          <a:off x="1304925" y="10144125"/>
          <a:ext cx="159067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361950</xdr:colOff>
      <xdr:row>49</xdr:row>
      <xdr:rowOff>0</xdr:rowOff>
    </xdr:to>
    <xdr:grpSp>
      <xdr:nvGrpSpPr>
        <xdr:cNvPr id="597" name="Group 4995" hidden="1"/>
        <xdr:cNvGrpSpPr>
          <a:grpSpLocks/>
        </xdr:cNvGrpSpPr>
      </xdr:nvGrpSpPr>
      <xdr:grpSpPr>
        <a:xfrm>
          <a:off x="1304925" y="10334625"/>
          <a:ext cx="159067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361950</xdr:colOff>
      <xdr:row>50</xdr:row>
      <xdr:rowOff>0</xdr:rowOff>
    </xdr:to>
    <xdr:grpSp>
      <xdr:nvGrpSpPr>
        <xdr:cNvPr id="601" name="Group 4996" hidden="1"/>
        <xdr:cNvGrpSpPr>
          <a:grpSpLocks/>
        </xdr:cNvGrpSpPr>
      </xdr:nvGrpSpPr>
      <xdr:grpSpPr>
        <a:xfrm>
          <a:off x="1304925" y="10525125"/>
          <a:ext cx="159067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361950</xdr:colOff>
      <xdr:row>51</xdr:row>
      <xdr:rowOff>0</xdr:rowOff>
    </xdr:to>
    <xdr:grpSp>
      <xdr:nvGrpSpPr>
        <xdr:cNvPr id="605" name="Group 4997" hidden="1"/>
        <xdr:cNvGrpSpPr>
          <a:grpSpLocks/>
        </xdr:cNvGrpSpPr>
      </xdr:nvGrpSpPr>
      <xdr:grpSpPr>
        <a:xfrm>
          <a:off x="1304925" y="10715625"/>
          <a:ext cx="159067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361950</xdr:colOff>
      <xdr:row>52</xdr:row>
      <xdr:rowOff>0</xdr:rowOff>
    </xdr:to>
    <xdr:grpSp>
      <xdr:nvGrpSpPr>
        <xdr:cNvPr id="609" name="Group 4998" hidden="1"/>
        <xdr:cNvGrpSpPr>
          <a:grpSpLocks/>
        </xdr:cNvGrpSpPr>
      </xdr:nvGrpSpPr>
      <xdr:grpSpPr>
        <a:xfrm>
          <a:off x="1304925" y="10906125"/>
          <a:ext cx="159067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361950</xdr:colOff>
      <xdr:row>53</xdr:row>
      <xdr:rowOff>0</xdr:rowOff>
    </xdr:to>
    <xdr:grpSp>
      <xdr:nvGrpSpPr>
        <xdr:cNvPr id="613" name="Group 4999" hidden="1"/>
        <xdr:cNvGrpSpPr>
          <a:grpSpLocks/>
        </xdr:cNvGrpSpPr>
      </xdr:nvGrpSpPr>
      <xdr:grpSpPr>
        <a:xfrm>
          <a:off x="1304925" y="11096625"/>
          <a:ext cx="159067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361950</xdr:colOff>
      <xdr:row>54</xdr:row>
      <xdr:rowOff>0</xdr:rowOff>
    </xdr:to>
    <xdr:grpSp>
      <xdr:nvGrpSpPr>
        <xdr:cNvPr id="617" name="Group 5000" hidden="1"/>
        <xdr:cNvGrpSpPr>
          <a:grpSpLocks/>
        </xdr:cNvGrpSpPr>
      </xdr:nvGrpSpPr>
      <xdr:grpSpPr>
        <a:xfrm>
          <a:off x="1304925" y="11287125"/>
          <a:ext cx="1590675" cy="219075"/>
          <a:chOff x="291" y="0"/>
          <a:chExt cx="2895317" cy="6962775"/>
        </a:xfrm>
        <a:solidFill>
          <a:srgbClr val="FFFFFF"/>
        </a:solidFill>
      </xdr:grpSpPr>
    </xdr:grpSp>
    <xdr:clientData/>
  </xdr:twoCellAnchor>
  <xdr:twoCellAnchor>
    <xdr:from>
      <xdr:col>1</xdr:col>
      <xdr:colOff>47625</xdr:colOff>
      <xdr:row>45</xdr:row>
      <xdr:rowOff>0</xdr:rowOff>
    </xdr:from>
    <xdr:to>
      <xdr:col>3</xdr:col>
      <xdr:colOff>352425</xdr:colOff>
      <xdr:row>46</xdr:row>
      <xdr:rowOff>28575</xdr:rowOff>
    </xdr:to>
    <xdr:grpSp>
      <xdr:nvGrpSpPr>
        <xdr:cNvPr id="621" name="Group 4971" hidden="1"/>
        <xdr:cNvGrpSpPr>
          <a:grpSpLocks/>
        </xdr:cNvGrpSpPr>
      </xdr:nvGrpSpPr>
      <xdr:grpSpPr>
        <a:xfrm>
          <a:off x="1295400" y="9791700"/>
          <a:ext cx="1590675" cy="219075"/>
          <a:chOff x="134" y="0"/>
          <a:chExt cx="2885951" cy="4676775"/>
        </a:xfrm>
        <a:solidFill>
          <a:srgbClr val="FFFFFF"/>
        </a:solidFill>
      </xdr:grpSpPr>
    </xdr:grpSp>
    <xdr:clientData/>
  </xdr:twoCellAnchor>
  <xdr:twoCellAnchor>
    <xdr:from>
      <xdr:col>1</xdr:col>
      <xdr:colOff>47625</xdr:colOff>
      <xdr:row>46</xdr:row>
      <xdr:rowOff>0</xdr:rowOff>
    </xdr:from>
    <xdr:to>
      <xdr:col>3</xdr:col>
      <xdr:colOff>352425</xdr:colOff>
      <xdr:row>47</xdr:row>
      <xdr:rowOff>28575</xdr:rowOff>
    </xdr:to>
    <xdr:grpSp>
      <xdr:nvGrpSpPr>
        <xdr:cNvPr id="625" name="Group 4971" hidden="1"/>
        <xdr:cNvGrpSpPr>
          <a:grpSpLocks/>
        </xdr:cNvGrpSpPr>
      </xdr:nvGrpSpPr>
      <xdr:grpSpPr>
        <a:xfrm>
          <a:off x="1295400" y="9982200"/>
          <a:ext cx="1590675" cy="219075"/>
          <a:chOff x="134" y="0"/>
          <a:chExt cx="2885951" cy="4676775"/>
        </a:xfrm>
        <a:solidFill>
          <a:srgbClr val="FFFFFF"/>
        </a:solidFill>
      </xdr:grpSpPr>
    </xdr:grpSp>
    <xdr:clientData/>
  </xdr:twoCellAnchor>
  <xdr:twoCellAnchor>
    <xdr:from>
      <xdr:col>1</xdr:col>
      <xdr:colOff>47625</xdr:colOff>
      <xdr:row>47</xdr:row>
      <xdr:rowOff>0</xdr:rowOff>
    </xdr:from>
    <xdr:to>
      <xdr:col>3</xdr:col>
      <xdr:colOff>352425</xdr:colOff>
      <xdr:row>48</xdr:row>
      <xdr:rowOff>28575</xdr:rowOff>
    </xdr:to>
    <xdr:grpSp>
      <xdr:nvGrpSpPr>
        <xdr:cNvPr id="629" name="Group 4971" hidden="1"/>
        <xdr:cNvGrpSpPr>
          <a:grpSpLocks/>
        </xdr:cNvGrpSpPr>
      </xdr:nvGrpSpPr>
      <xdr:grpSpPr>
        <a:xfrm>
          <a:off x="1295400" y="10172700"/>
          <a:ext cx="1590675" cy="219075"/>
          <a:chOff x="134" y="0"/>
          <a:chExt cx="2885951" cy="4676775"/>
        </a:xfrm>
        <a:solidFill>
          <a:srgbClr val="FFFFFF"/>
        </a:solidFill>
      </xdr:grpSpPr>
    </xdr:grpSp>
    <xdr:clientData/>
  </xdr:twoCellAnchor>
  <xdr:twoCellAnchor>
    <xdr:from>
      <xdr:col>1</xdr:col>
      <xdr:colOff>47625</xdr:colOff>
      <xdr:row>48</xdr:row>
      <xdr:rowOff>0</xdr:rowOff>
    </xdr:from>
    <xdr:to>
      <xdr:col>3</xdr:col>
      <xdr:colOff>352425</xdr:colOff>
      <xdr:row>49</xdr:row>
      <xdr:rowOff>28575</xdr:rowOff>
    </xdr:to>
    <xdr:grpSp>
      <xdr:nvGrpSpPr>
        <xdr:cNvPr id="633" name="Group 4971" hidden="1"/>
        <xdr:cNvGrpSpPr>
          <a:grpSpLocks/>
        </xdr:cNvGrpSpPr>
      </xdr:nvGrpSpPr>
      <xdr:grpSpPr>
        <a:xfrm>
          <a:off x="1295400" y="10363200"/>
          <a:ext cx="1590675" cy="219075"/>
          <a:chOff x="134" y="0"/>
          <a:chExt cx="2885951" cy="4676775"/>
        </a:xfrm>
        <a:solidFill>
          <a:srgbClr val="FFFFFF"/>
        </a:solidFill>
      </xdr:grpSpPr>
    </xdr:grpSp>
    <xdr:clientData/>
  </xdr:twoCellAnchor>
  <xdr:twoCellAnchor>
    <xdr:from>
      <xdr:col>1</xdr:col>
      <xdr:colOff>47625</xdr:colOff>
      <xdr:row>49</xdr:row>
      <xdr:rowOff>0</xdr:rowOff>
    </xdr:from>
    <xdr:to>
      <xdr:col>3</xdr:col>
      <xdr:colOff>352425</xdr:colOff>
      <xdr:row>50</xdr:row>
      <xdr:rowOff>28575</xdr:rowOff>
    </xdr:to>
    <xdr:grpSp>
      <xdr:nvGrpSpPr>
        <xdr:cNvPr id="637" name="Group 4971" hidden="1"/>
        <xdr:cNvGrpSpPr>
          <a:grpSpLocks/>
        </xdr:cNvGrpSpPr>
      </xdr:nvGrpSpPr>
      <xdr:grpSpPr>
        <a:xfrm>
          <a:off x="1295400" y="10553700"/>
          <a:ext cx="1590675" cy="219075"/>
          <a:chOff x="134" y="0"/>
          <a:chExt cx="2885951" cy="4676775"/>
        </a:xfrm>
        <a:solidFill>
          <a:srgbClr val="FFFFFF"/>
        </a:solidFill>
      </xdr:grpSpPr>
    </xdr:grpSp>
    <xdr:clientData/>
  </xdr:twoCellAnchor>
  <xdr:twoCellAnchor>
    <xdr:from>
      <xdr:col>1</xdr:col>
      <xdr:colOff>47625</xdr:colOff>
      <xdr:row>50</xdr:row>
      <xdr:rowOff>0</xdr:rowOff>
    </xdr:from>
    <xdr:to>
      <xdr:col>3</xdr:col>
      <xdr:colOff>352425</xdr:colOff>
      <xdr:row>51</xdr:row>
      <xdr:rowOff>28575</xdr:rowOff>
    </xdr:to>
    <xdr:grpSp>
      <xdr:nvGrpSpPr>
        <xdr:cNvPr id="641" name="Group 4971" hidden="1"/>
        <xdr:cNvGrpSpPr>
          <a:grpSpLocks/>
        </xdr:cNvGrpSpPr>
      </xdr:nvGrpSpPr>
      <xdr:grpSpPr>
        <a:xfrm>
          <a:off x="1295400" y="10744200"/>
          <a:ext cx="1590675" cy="219075"/>
          <a:chOff x="134" y="0"/>
          <a:chExt cx="2885951" cy="4676775"/>
        </a:xfrm>
        <a:solidFill>
          <a:srgbClr val="FFFFFF"/>
        </a:solidFill>
      </xdr:grpSpPr>
    </xdr:grpSp>
    <xdr:clientData/>
  </xdr:twoCellAnchor>
  <xdr:twoCellAnchor>
    <xdr:from>
      <xdr:col>1</xdr:col>
      <xdr:colOff>47625</xdr:colOff>
      <xdr:row>51</xdr:row>
      <xdr:rowOff>0</xdr:rowOff>
    </xdr:from>
    <xdr:to>
      <xdr:col>3</xdr:col>
      <xdr:colOff>352425</xdr:colOff>
      <xdr:row>52</xdr:row>
      <xdr:rowOff>28575</xdr:rowOff>
    </xdr:to>
    <xdr:grpSp>
      <xdr:nvGrpSpPr>
        <xdr:cNvPr id="645" name="Group 4971" hidden="1"/>
        <xdr:cNvGrpSpPr>
          <a:grpSpLocks/>
        </xdr:cNvGrpSpPr>
      </xdr:nvGrpSpPr>
      <xdr:grpSpPr>
        <a:xfrm>
          <a:off x="1295400" y="10934700"/>
          <a:ext cx="1590675" cy="219075"/>
          <a:chOff x="134" y="0"/>
          <a:chExt cx="2885951" cy="4676775"/>
        </a:xfrm>
        <a:solidFill>
          <a:srgbClr val="FFFFFF"/>
        </a:solidFill>
      </xdr:grpSpPr>
    </xdr:grpSp>
    <xdr:clientData/>
  </xdr:twoCellAnchor>
  <xdr:twoCellAnchor>
    <xdr:from>
      <xdr:col>1</xdr:col>
      <xdr:colOff>47625</xdr:colOff>
      <xdr:row>52</xdr:row>
      <xdr:rowOff>0</xdr:rowOff>
    </xdr:from>
    <xdr:to>
      <xdr:col>3</xdr:col>
      <xdr:colOff>352425</xdr:colOff>
      <xdr:row>53</xdr:row>
      <xdr:rowOff>0</xdr:rowOff>
    </xdr:to>
    <xdr:grpSp>
      <xdr:nvGrpSpPr>
        <xdr:cNvPr id="649" name="Group 4971" hidden="1"/>
        <xdr:cNvGrpSpPr>
          <a:grpSpLocks/>
        </xdr:cNvGrpSpPr>
      </xdr:nvGrpSpPr>
      <xdr:grpSpPr>
        <a:xfrm>
          <a:off x="1295400" y="11125200"/>
          <a:ext cx="1590675" cy="190500"/>
          <a:chOff x="134" y="0"/>
          <a:chExt cx="2885951" cy="467677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hris\AppData\Local\Temp\Copy%20of%20TravelExpGood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hris\AppData\Local\Temp\Travel%20Expense%20Summa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mbowles\AppData\Local\Temp\Copy%20of%20TravelExpGood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cmbowles\AppData\Local\Temp\Travel%20Expense%20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oakland.edu/audit/polcy1210A.htm" TargetMode="External" /><Relationship Id="rId2" Type="http://schemas.openxmlformats.org/officeDocument/2006/relationships/hyperlink" Target="http://www2.oakland.edu/audit/polcy1210A.htm" TargetMode="External" /><Relationship Id="rId3" Type="http://schemas.openxmlformats.org/officeDocument/2006/relationships/hyperlink" Target="http://www.irs.gov/2014-Standard-Mileage-Rates-for-Business,-Medical-and-Moving-Announced" TargetMode="External" /><Relationship Id="rId4" Type="http://schemas.openxmlformats.org/officeDocument/2006/relationships/hyperlink" Target="http://aoprals.state.gov/web920/per_diem.asp" TargetMode="External" /><Relationship Id="rId5" Type="http://schemas.openxmlformats.org/officeDocument/2006/relationships/hyperlink" Target="http://aoprals.state.gov/web920/per_diem.asp" TargetMode="External" /><Relationship Id="rId6" Type="http://schemas.openxmlformats.org/officeDocument/2006/relationships/hyperlink" Target="http://www.defensetravel.dod.mil/site/perdiemCalc.cfm" TargetMode="External" /><Relationship Id="rId7" Type="http://schemas.openxmlformats.org/officeDocument/2006/relationships/hyperlink" Target="http://aoprals.state.gov/web920/per_diem.asp" TargetMode="External" /><Relationship Id="rId8" Type="http://schemas.openxmlformats.org/officeDocument/2006/relationships/hyperlink" Target="http://aoprals.state.gov/content.asp?content_id=114&amp;menu_id=78" TargetMode="External" /><Relationship Id="rId9" Type="http://schemas.openxmlformats.org/officeDocument/2006/relationships/hyperlink" Target="http://www.oakland.edu/apdirectory/" TargetMode="External" /><Relationship Id="rId10" Type="http://schemas.openxmlformats.org/officeDocument/2006/relationships/hyperlink" Target="mailto:payables@oakland.edu?subject=Problem%20w/TES" TargetMode="Externa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Q111"/>
  <sheetViews>
    <sheetView zoomScalePageLayoutView="0" workbookViewId="0" topLeftCell="C1">
      <selection activeCell="A1" sqref="A1:D1"/>
    </sheetView>
  </sheetViews>
  <sheetFormatPr defaultColWidth="9.00390625" defaultRowHeight="14.25"/>
  <cols>
    <col min="1" max="1" width="3.625" style="283" hidden="1" customWidth="1"/>
    <col min="2" max="2" width="8.00390625" style="283" hidden="1" customWidth="1"/>
    <col min="3" max="3" width="83.25390625" style="283" customWidth="1"/>
    <col min="4" max="4" width="29.125" style="283" customWidth="1"/>
    <col min="5" max="16384" width="9.00390625" style="283" customWidth="1"/>
  </cols>
  <sheetData>
    <row r="1" spans="1:17" s="269" customFormat="1" ht="15">
      <c r="A1" s="341" t="s">
        <v>13</v>
      </c>
      <c r="B1" s="341"/>
      <c r="C1" s="341"/>
      <c r="D1" s="341"/>
      <c r="E1" s="268"/>
      <c r="F1" s="268"/>
      <c r="G1" s="268"/>
      <c r="H1" s="268"/>
      <c r="I1" s="268"/>
      <c r="J1" s="268"/>
      <c r="K1" s="268"/>
      <c r="L1" s="268"/>
      <c r="M1" s="268"/>
      <c r="N1" s="268"/>
      <c r="O1" s="268"/>
      <c r="P1" s="268"/>
      <c r="Q1" s="268"/>
    </row>
    <row r="2" spans="1:17" s="269" customFormat="1" ht="15">
      <c r="A2" s="341" t="s">
        <v>133</v>
      </c>
      <c r="B2" s="341"/>
      <c r="C2" s="341"/>
      <c r="D2" s="341"/>
      <c r="E2" s="268"/>
      <c r="F2" s="268"/>
      <c r="G2" s="268"/>
      <c r="H2" s="268"/>
      <c r="I2" s="268"/>
      <c r="J2" s="268"/>
      <c r="K2" s="268"/>
      <c r="L2" s="268"/>
      <c r="M2" s="268"/>
      <c r="N2" s="268"/>
      <c r="O2" s="268"/>
      <c r="P2" s="268"/>
      <c r="Q2" s="268"/>
    </row>
    <row r="3" spans="1:17" s="269" customFormat="1" ht="15">
      <c r="A3" s="267"/>
      <c r="B3" s="341" t="s">
        <v>159</v>
      </c>
      <c r="C3" s="341"/>
      <c r="D3" s="341"/>
      <c r="E3" s="268"/>
      <c r="F3" s="268"/>
      <c r="G3" s="268"/>
      <c r="H3" s="268"/>
      <c r="I3" s="268"/>
      <c r="J3" s="268"/>
      <c r="K3" s="268"/>
      <c r="L3" s="268"/>
      <c r="M3" s="268"/>
      <c r="N3" s="268"/>
      <c r="O3" s="268"/>
      <c r="P3" s="268"/>
      <c r="Q3" s="268"/>
    </row>
    <row r="4" spans="1:17" s="269" customFormat="1" ht="15">
      <c r="A4" s="267"/>
      <c r="B4" s="267"/>
      <c r="C4" s="267"/>
      <c r="D4" s="267"/>
      <c r="E4" s="268"/>
      <c r="F4" s="268"/>
      <c r="G4" s="268"/>
      <c r="H4" s="268"/>
      <c r="I4" s="268"/>
      <c r="J4" s="268"/>
      <c r="K4" s="268"/>
      <c r="L4" s="268"/>
      <c r="M4" s="268"/>
      <c r="N4" s="268"/>
      <c r="O4" s="268"/>
      <c r="P4" s="268"/>
      <c r="Q4" s="268"/>
    </row>
    <row r="5" spans="1:17" ht="3" customHeight="1">
      <c r="A5" s="285"/>
      <c r="B5" s="285"/>
      <c r="C5" s="285"/>
      <c r="D5" s="285"/>
      <c r="E5" s="286"/>
      <c r="F5" s="286"/>
      <c r="G5" s="286"/>
      <c r="H5" s="286"/>
      <c r="I5" s="286"/>
      <c r="J5" s="286"/>
      <c r="K5" s="286"/>
      <c r="L5" s="286"/>
      <c r="M5" s="286"/>
      <c r="N5" s="286"/>
      <c r="O5" s="286"/>
      <c r="P5" s="286"/>
      <c r="Q5" s="286"/>
    </row>
    <row r="6" spans="3:14" s="270" customFormat="1" ht="13.5">
      <c r="C6" s="322" t="s">
        <v>199</v>
      </c>
      <c r="D6" s="322"/>
      <c r="E6" s="272"/>
      <c r="F6" s="272"/>
      <c r="G6" s="272"/>
      <c r="H6" s="272"/>
      <c r="I6" s="272"/>
      <c r="J6" s="272"/>
      <c r="K6" s="272"/>
      <c r="L6" s="272"/>
      <c r="M6" s="272"/>
      <c r="N6" s="272"/>
    </row>
    <row r="7" spans="3:14" s="270" customFormat="1" ht="13.5">
      <c r="C7" s="271"/>
      <c r="D7" s="271"/>
      <c r="E7" s="272"/>
      <c r="F7" s="272"/>
      <c r="G7" s="272"/>
      <c r="H7" s="272"/>
      <c r="I7" s="272"/>
      <c r="J7" s="272"/>
      <c r="K7" s="272"/>
      <c r="L7" s="272"/>
      <c r="M7" s="272"/>
      <c r="N7" s="272"/>
    </row>
    <row r="8" spans="3:4" ht="43.5" customHeight="1">
      <c r="C8" s="326" t="s">
        <v>198</v>
      </c>
      <c r="D8" s="327"/>
    </row>
    <row r="9" spans="3:14" s="270" customFormat="1" ht="13.5" customHeight="1">
      <c r="C9" s="274"/>
      <c r="D9" s="274"/>
      <c r="E9" s="272"/>
      <c r="F9" s="272"/>
      <c r="G9" s="272"/>
      <c r="H9" s="272"/>
      <c r="I9" s="272"/>
      <c r="J9" s="272"/>
      <c r="K9" s="272"/>
      <c r="L9" s="272"/>
      <c r="M9" s="272"/>
      <c r="N9" s="272"/>
    </row>
    <row r="10" spans="3:14" s="270" customFormat="1" ht="13.5">
      <c r="C10" s="273" t="s">
        <v>189</v>
      </c>
      <c r="D10" s="272"/>
      <c r="E10" s="272"/>
      <c r="F10" s="272"/>
      <c r="G10" s="272"/>
      <c r="H10" s="272"/>
      <c r="I10" s="272"/>
      <c r="J10" s="272"/>
      <c r="K10" s="272"/>
      <c r="L10" s="272"/>
      <c r="M10" s="272"/>
      <c r="N10" s="272"/>
    </row>
    <row r="11" spans="3:14" s="270" customFormat="1" ht="3" customHeight="1">
      <c r="C11" s="273"/>
      <c r="D11" s="272"/>
      <c r="E11" s="272"/>
      <c r="F11" s="272"/>
      <c r="G11" s="272"/>
      <c r="H11" s="272"/>
      <c r="I11" s="272"/>
      <c r="J11" s="272"/>
      <c r="K11" s="272"/>
      <c r="L11" s="272"/>
      <c r="M11" s="272"/>
      <c r="N11" s="272"/>
    </row>
    <row r="12" spans="3:14" s="270" customFormat="1" ht="13.5">
      <c r="C12" s="275" t="s">
        <v>125</v>
      </c>
      <c r="D12" s="272"/>
      <c r="E12" s="272"/>
      <c r="F12" s="272"/>
      <c r="G12" s="272"/>
      <c r="H12" s="272"/>
      <c r="I12" s="272"/>
      <c r="J12" s="272"/>
      <c r="K12" s="272"/>
      <c r="L12" s="272"/>
      <c r="M12" s="272"/>
      <c r="N12" s="272"/>
    </row>
    <row r="13" spans="3:14" s="278" customFormat="1" ht="13.5">
      <c r="C13" s="329" t="s">
        <v>148</v>
      </c>
      <c r="D13" s="327"/>
      <c r="E13" s="277"/>
      <c r="F13" s="277"/>
      <c r="G13" s="277"/>
      <c r="H13" s="277"/>
      <c r="I13" s="277"/>
      <c r="J13" s="277"/>
      <c r="K13" s="277"/>
      <c r="L13" s="277"/>
      <c r="M13" s="277"/>
      <c r="N13" s="277"/>
    </row>
    <row r="14" spans="3:14" s="270" customFormat="1" ht="13.5">
      <c r="C14" s="275" t="s">
        <v>135</v>
      </c>
      <c r="D14" s="272"/>
      <c r="E14" s="272"/>
      <c r="F14" s="272"/>
      <c r="G14" s="272"/>
      <c r="H14" s="272"/>
      <c r="I14" s="272"/>
      <c r="J14" s="272"/>
      <c r="K14" s="272"/>
      <c r="L14" s="272"/>
      <c r="M14" s="272"/>
      <c r="N14" s="272"/>
    </row>
    <row r="15" spans="3:14" s="270" customFormat="1" ht="13.5">
      <c r="C15" s="329" t="s">
        <v>136</v>
      </c>
      <c r="D15" s="342"/>
      <c r="E15" s="272"/>
      <c r="F15" s="272"/>
      <c r="G15" s="272"/>
      <c r="H15" s="272"/>
      <c r="I15" s="272"/>
      <c r="J15" s="272"/>
      <c r="K15" s="272"/>
      <c r="L15" s="272"/>
      <c r="M15" s="272"/>
      <c r="N15" s="272"/>
    </row>
    <row r="16" spans="3:14" s="270" customFormat="1" ht="3" customHeight="1">
      <c r="C16" s="275"/>
      <c r="D16" s="274"/>
      <c r="E16" s="272"/>
      <c r="F16" s="272"/>
      <c r="G16" s="272"/>
      <c r="H16" s="272"/>
      <c r="I16" s="272"/>
      <c r="J16" s="272"/>
      <c r="K16" s="272"/>
      <c r="L16" s="272"/>
      <c r="M16" s="272"/>
      <c r="N16" s="272"/>
    </row>
    <row r="17" spans="3:14" s="270" customFormat="1" ht="13.5">
      <c r="C17" s="273" t="s">
        <v>128</v>
      </c>
      <c r="D17" s="272"/>
      <c r="E17" s="272"/>
      <c r="F17" s="272"/>
      <c r="G17" s="272"/>
      <c r="H17" s="272"/>
      <c r="I17" s="272"/>
      <c r="J17" s="272"/>
      <c r="K17" s="272"/>
      <c r="L17" s="272"/>
      <c r="M17" s="272"/>
      <c r="N17" s="272"/>
    </row>
    <row r="18" spans="3:14" s="270" customFormat="1" ht="3" customHeight="1">
      <c r="C18" s="273"/>
      <c r="D18" s="272"/>
      <c r="E18" s="272"/>
      <c r="F18" s="272"/>
      <c r="G18" s="272"/>
      <c r="H18" s="272"/>
      <c r="I18" s="272"/>
      <c r="J18" s="272"/>
      <c r="K18" s="272"/>
      <c r="L18" s="272"/>
      <c r="M18" s="272"/>
      <c r="N18" s="272"/>
    </row>
    <row r="19" spans="2:14" s="278" customFormat="1" ht="13.5">
      <c r="B19" s="276" t="s">
        <v>119</v>
      </c>
      <c r="C19" s="275" t="s">
        <v>120</v>
      </c>
      <c r="D19" s="277"/>
      <c r="E19" s="277"/>
      <c r="F19" s="277"/>
      <c r="G19" s="277"/>
      <c r="H19" s="277"/>
      <c r="I19" s="277"/>
      <c r="J19" s="277"/>
      <c r="K19" s="277"/>
      <c r="L19" s="277"/>
      <c r="M19" s="277"/>
      <c r="N19" s="277"/>
    </row>
    <row r="20" spans="3:14" s="278" customFormat="1" ht="13.5">
      <c r="C20" s="275" t="s">
        <v>121</v>
      </c>
      <c r="D20" s="277"/>
      <c r="E20" s="277"/>
      <c r="F20" s="277"/>
      <c r="G20" s="277"/>
      <c r="H20" s="277"/>
      <c r="I20" s="277"/>
      <c r="J20" s="277"/>
      <c r="K20" s="277"/>
      <c r="L20" s="277"/>
      <c r="M20" s="277"/>
      <c r="N20" s="277"/>
    </row>
    <row r="21" spans="3:14" s="278" customFormat="1" ht="13.5">
      <c r="C21" s="275" t="s">
        <v>122</v>
      </c>
      <c r="D21" s="277"/>
      <c r="E21" s="277"/>
      <c r="F21" s="277"/>
      <c r="G21" s="277"/>
      <c r="H21" s="277"/>
      <c r="I21" s="277"/>
      <c r="J21" s="277"/>
      <c r="K21" s="277"/>
      <c r="L21" s="277"/>
      <c r="M21" s="277"/>
      <c r="N21" s="277"/>
    </row>
    <row r="22" spans="3:14" s="278" customFormat="1" ht="13.5">
      <c r="C22" s="329" t="s">
        <v>153</v>
      </c>
      <c r="D22" s="329"/>
      <c r="E22" s="277"/>
      <c r="F22" s="277"/>
      <c r="G22" s="277"/>
      <c r="H22" s="277"/>
      <c r="I22" s="277"/>
      <c r="J22" s="277"/>
      <c r="K22" s="277"/>
      <c r="L22" s="277"/>
      <c r="M22" s="277"/>
      <c r="N22" s="277"/>
    </row>
    <row r="23" spans="3:14" s="278" customFormat="1" ht="13.5">
      <c r="C23" s="335" t="s">
        <v>126</v>
      </c>
      <c r="D23" s="336"/>
      <c r="E23" s="277"/>
      <c r="F23" s="277"/>
      <c r="G23" s="277"/>
      <c r="H23" s="277"/>
      <c r="I23" s="277"/>
      <c r="J23" s="277"/>
      <c r="K23" s="277"/>
      <c r="L23" s="277"/>
      <c r="M23" s="277"/>
      <c r="N23" s="277"/>
    </row>
    <row r="24" spans="3:14" s="278" customFormat="1" ht="3" customHeight="1">
      <c r="C24" s="287"/>
      <c r="D24" s="288"/>
      <c r="E24" s="277"/>
      <c r="F24" s="277"/>
      <c r="G24" s="277"/>
      <c r="H24" s="277"/>
      <c r="I24" s="277"/>
      <c r="J24" s="277"/>
      <c r="K24" s="277"/>
      <c r="L24" s="277"/>
      <c r="M24" s="277"/>
      <c r="N24" s="277"/>
    </row>
    <row r="25" spans="3:14" s="278" customFormat="1" ht="13.5">
      <c r="C25" s="280" t="s">
        <v>188</v>
      </c>
      <c r="D25" s="275"/>
      <c r="E25" s="277"/>
      <c r="F25" s="277"/>
      <c r="G25" s="277"/>
      <c r="H25" s="277"/>
      <c r="I25" s="277"/>
      <c r="J25" s="277"/>
      <c r="K25" s="277"/>
      <c r="L25" s="277"/>
      <c r="M25" s="277"/>
      <c r="N25" s="277"/>
    </row>
    <row r="26" spans="3:14" s="278" customFormat="1" ht="3" customHeight="1">
      <c r="C26" s="289"/>
      <c r="D26" s="290"/>
      <c r="E26" s="277"/>
      <c r="F26" s="277"/>
      <c r="G26" s="277"/>
      <c r="H26" s="277"/>
      <c r="I26" s="277"/>
      <c r="J26" s="277"/>
      <c r="K26" s="277"/>
      <c r="L26" s="277"/>
      <c r="M26" s="277"/>
      <c r="N26" s="277"/>
    </row>
    <row r="27" spans="3:14" s="278" customFormat="1" ht="13.5">
      <c r="C27" s="337" t="s">
        <v>167</v>
      </c>
      <c r="D27" s="337"/>
      <c r="E27" s="277"/>
      <c r="F27" s="277"/>
      <c r="G27" s="277"/>
      <c r="H27" s="277"/>
      <c r="I27" s="277"/>
      <c r="J27" s="277"/>
      <c r="K27" s="277"/>
      <c r="L27" s="277"/>
      <c r="M27" s="277"/>
      <c r="N27" s="277"/>
    </row>
    <row r="28" spans="3:14" s="278" customFormat="1" ht="13.5">
      <c r="C28" s="319" t="s">
        <v>163</v>
      </c>
      <c r="D28" s="338"/>
      <c r="E28" s="277"/>
      <c r="F28" s="277"/>
      <c r="G28" s="277"/>
      <c r="H28" s="277"/>
      <c r="I28" s="277"/>
      <c r="J28" s="277"/>
      <c r="K28" s="277"/>
      <c r="L28" s="277"/>
      <c r="M28" s="277"/>
      <c r="N28" s="277"/>
    </row>
    <row r="29" spans="3:14" s="278" customFormat="1" ht="13.5">
      <c r="C29" s="317" t="s">
        <v>164</v>
      </c>
      <c r="D29" s="339"/>
      <c r="E29" s="277"/>
      <c r="F29" s="277"/>
      <c r="G29" s="277"/>
      <c r="H29" s="277"/>
      <c r="I29" s="277"/>
      <c r="J29" s="277"/>
      <c r="K29" s="277"/>
      <c r="L29" s="277"/>
      <c r="M29" s="277"/>
      <c r="N29" s="277"/>
    </row>
    <row r="30" spans="3:14" s="278" customFormat="1" ht="13.5">
      <c r="C30" s="294" t="s">
        <v>149</v>
      </c>
      <c r="D30" s="295" t="s">
        <v>150</v>
      </c>
      <c r="E30" s="277"/>
      <c r="F30" s="277"/>
      <c r="G30" s="277"/>
      <c r="H30" s="277"/>
      <c r="I30" s="277"/>
      <c r="J30" s="277"/>
      <c r="K30" s="277"/>
      <c r="L30" s="277"/>
      <c r="M30" s="277"/>
      <c r="N30" s="277"/>
    </row>
    <row r="31" spans="3:14" s="278" customFormat="1" ht="13.5">
      <c r="C31" s="296">
        <v>41275</v>
      </c>
      <c r="D31" s="297">
        <v>0.565</v>
      </c>
      <c r="E31" s="277"/>
      <c r="F31" s="277"/>
      <c r="G31" s="277"/>
      <c r="H31" s="277"/>
      <c r="I31" s="277"/>
      <c r="J31" s="277"/>
      <c r="K31" s="277"/>
      <c r="L31" s="277"/>
      <c r="M31" s="277"/>
      <c r="N31" s="277"/>
    </row>
    <row r="32" spans="3:14" s="278" customFormat="1" ht="13.5">
      <c r="C32" s="296">
        <v>41640</v>
      </c>
      <c r="D32" s="297">
        <v>0.56</v>
      </c>
      <c r="E32" s="277"/>
      <c r="F32" s="277"/>
      <c r="G32" s="277"/>
      <c r="H32" s="277"/>
      <c r="I32" s="277"/>
      <c r="J32" s="277"/>
      <c r="K32" s="277"/>
      <c r="L32" s="277"/>
      <c r="M32" s="277"/>
      <c r="N32" s="277"/>
    </row>
    <row r="33" spans="3:14" s="278" customFormat="1" ht="13.5">
      <c r="C33" s="296">
        <v>42005</v>
      </c>
      <c r="D33" s="297">
        <v>0.575</v>
      </c>
      <c r="E33" s="277"/>
      <c r="F33" s="277"/>
      <c r="G33" s="277"/>
      <c r="H33" s="277"/>
      <c r="I33" s="277"/>
      <c r="J33" s="277"/>
      <c r="K33" s="277"/>
      <c r="L33" s="277"/>
      <c r="M33" s="277"/>
      <c r="N33" s="277"/>
    </row>
    <row r="34" spans="3:14" s="278" customFormat="1" ht="14.25">
      <c r="C34" s="340" t="s">
        <v>165</v>
      </c>
      <c r="D34" s="340"/>
      <c r="E34" s="277"/>
      <c r="F34" s="277"/>
      <c r="G34" s="277"/>
      <c r="H34" s="277"/>
      <c r="I34" s="277"/>
      <c r="J34" s="277"/>
      <c r="K34" s="277"/>
      <c r="L34" s="277"/>
      <c r="M34" s="277"/>
      <c r="N34" s="277"/>
    </row>
    <row r="35" spans="3:14" s="278" customFormat="1" ht="14.25">
      <c r="C35" s="299" t="s">
        <v>200</v>
      </c>
      <c r="D35" s="298"/>
      <c r="E35" s="277"/>
      <c r="F35" s="277"/>
      <c r="G35" s="277"/>
      <c r="H35" s="277"/>
      <c r="I35" s="277"/>
      <c r="J35" s="277"/>
      <c r="K35" s="277"/>
      <c r="L35" s="277"/>
      <c r="M35" s="277"/>
      <c r="N35" s="277"/>
    </row>
    <row r="36" spans="3:14" s="278" customFormat="1" ht="13.5">
      <c r="C36" s="330" t="s">
        <v>162</v>
      </c>
      <c r="D36" s="331"/>
      <c r="E36" s="277"/>
      <c r="F36" s="277"/>
      <c r="G36" s="277"/>
      <c r="H36" s="277"/>
      <c r="I36" s="277"/>
      <c r="J36" s="277"/>
      <c r="K36" s="277"/>
      <c r="L36" s="277"/>
      <c r="M36" s="277"/>
      <c r="N36" s="277"/>
    </row>
    <row r="37" spans="3:14" s="278" customFormat="1" ht="13.5">
      <c r="C37" s="330" t="s">
        <v>166</v>
      </c>
      <c r="D37" s="333"/>
      <c r="E37" s="277"/>
      <c r="F37" s="277"/>
      <c r="G37" s="277"/>
      <c r="H37" s="277"/>
      <c r="I37" s="277"/>
      <c r="J37" s="277"/>
      <c r="K37" s="277"/>
      <c r="L37" s="277"/>
      <c r="M37" s="277"/>
      <c r="N37" s="277"/>
    </row>
    <row r="38" spans="3:14" s="278" customFormat="1" ht="13.5">
      <c r="C38" s="330" t="s">
        <v>161</v>
      </c>
      <c r="D38" s="330"/>
      <c r="E38" s="277"/>
      <c r="F38" s="277"/>
      <c r="G38" s="277"/>
      <c r="H38" s="277"/>
      <c r="I38" s="277"/>
      <c r="J38" s="277"/>
      <c r="K38" s="277"/>
      <c r="L38" s="277"/>
      <c r="M38" s="277"/>
      <c r="N38" s="277"/>
    </row>
    <row r="39" spans="3:14" s="278" customFormat="1" ht="13.5">
      <c r="C39" s="300" t="s">
        <v>166</v>
      </c>
      <c r="D39" s="301"/>
      <c r="E39" s="277"/>
      <c r="F39" s="277"/>
      <c r="G39" s="277"/>
      <c r="H39" s="277"/>
      <c r="I39" s="277"/>
      <c r="J39" s="277"/>
      <c r="K39" s="277"/>
      <c r="L39" s="277"/>
      <c r="M39" s="277"/>
      <c r="N39" s="277"/>
    </row>
    <row r="40" spans="3:14" s="278" customFormat="1" ht="13.5">
      <c r="C40" s="293" t="s">
        <v>42</v>
      </c>
      <c r="D40" s="290"/>
      <c r="E40" s="277"/>
      <c r="F40" s="277"/>
      <c r="G40" s="277"/>
      <c r="H40" s="277"/>
      <c r="I40" s="277"/>
      <c r="J40" s="277"/>
      <c r="K40" s="277"/>
      <c r="L40" s="277"/>
      <c r="M40" s="277"/>
      <c r="N40" s="277"/>
    </row>
    <row r="41" spans="3:14" s="278" customFormat="1" ht="13.5">
      <c r="C41" s="319" t="s">
        <v>173</v>
      </c>
      <c r="D41" s="320"/>
      <c r="E41" s="277"/>
      <c r="F41" s="277"/>
      <c r="G41" s="277"/>
      <c r="H41" s="277"/>
      <c r="I41" s="277"/>
      <c r="J41" s="277"/>
      <c r="K41" s="277"/>
      <c r="L41" s="277"/>
      <c r="M41" s="277"/>
      <c r="N41" s="277"/>
    </row>
    <row r="42" spans="3:14" s="278" customFormat="1" ht="13.5">
      <c r="C42" s="292" t="s">
        <v>174</v>
      </c>
      <c r="D42" s="302"/>
      <c r="E42" s="277"/>
      <c r="F42" s="277"/>
      <c r="G42" s="277"/>
      <c r="H42" s="277"/>
      <c r="I42" s="277"/>
      <c r="J42" s="277"/>
      <c r="K42" s="277"/>
      <c r="L42" s="277"/>
      <c r="M42" s="277"/>
      <c r="N42" s="277"/>
    </row>
    <row r="43" spans="3:14" s="278" customFormat="1" ht="13.5">
      <c r="C43" s="291" t="s">
        <v>151</v>
      </c>
      <c r="D43" s="292"/>
      <c r="E43" s="277"/>
      <c r="F43" s="277"/>
      <c r="G43" s="277"/>
      <c r="H43" s="277"/>
      <c r="I43" s="277"/>
      <c r="J43" s="277"/>
      <c r="K43" s="277"/>
      <c r="L43" s="277"/>
      <c r="M43" s="277"/>
      <c r="N43" s="277"/>
    </row>
    <row r="44" spans="3:14" s="278" customFormat="1" ht="13.5">
      <c r="C44" s="318" t="s">
        <v>152</v>
      </c>
      <c r="D44" s="318"/>
      <c r="E44" s="277"/>
      <c r="F44" s="277"/>
      <c r="G44" s="277"/>
      <c r="H44" s="277"/>
      <c r="I44" s="277"/>
      <c r="J44" s="277"/>
      <c r="K44" s="277"/>
      <c r="L44" s="277"/>
      <c r="M44" s="277"/>
      <c r="N44" s="277"/>
    </row>
    <row r="45" spans="3:14" s="278" customFormat="1" ht="13.5">
      <c r="C45" s="318" t="s">
        <v>123</v>
      </c>
      <c r="D45" s="344"/>
      <c r="E45" s="277"/>
      <c r="F45" s="277"/>
      <c r="G45" s="277"/>
      <c r="H45" s="277"/>
      <c r="I45" s="277"/>
      <c r="J45" s="277"/>
      <c r="K45" s="277"/>
      <c r="L45" s="277"/>
      <c r="M45" s="277"/>
      <c r="N45" s="277"/>
    </row>
    <row r="46" spans="3:14" s="278" customFormat="1" ht="13.5">
      <c r="C46" s="318" t="s">
        <v>201</v>
      </c>
      <c r="D46" s="318"/>
      <c r="E46" s="277"/>
      <c r="F46" s="277"/>
      <c r="G46" s="277"/>
      <c r="H46" s="277"/>
      <c r="I46" s="277"/>
      <c r="J46" s="277"/>
      <c r="K46" s="277"/>
      <c r="L46" s="277"/>
      <c r="M46" s="277"/>
      <c r="N46" s="277"/>
    </row>
    <row r="47" spans="3:14" s="278" customFormat="1" ht="13.5">
      <c r="C47" s="304" t="s">
        <v>156</v>
      </c>
      <c r="D47" s="305"/>
      <c r="E47" s="277"/>
      <c r="F47" s="277"/>
      <c r="G47" s="277"/>
      <c r="H47" s="277"/>
      <c r="I47" s="277"/>
      <c r="J47" s="277"/>
      <c r="K47" s="277"/>
      <c r="L47" s="277"/>
      <c r="M47" s="277"/>
      <c r="N47" s="277"/>
    </row>
    <row r="48" spans="3:14" s="278" customFormat="1" ht="13.5">
      <c r="C48" s="319" t="s">
        <v>154</v>
      </c>
      <c r="D48" s="320"/>
      <c r="E48" s="277"/>
      <c r="F48" s="277"/>
      <c r="G48" s="277"/>
      <c r="H48" s="277"/>
      <c r="I48" s="277"/>
      <c r="J48" s="277"/>
      <c r="K48" s="277"/>
      <c r="L48" s="277"/>
      <c r="M48" s="277"/>
      <c r="N48" s="277"/>
    </row>
    <row r="49" spans="3:14" s="278" customFormat="1" ht="13.5">
      <c r="C49" s="292" t="s">
        <v>160</v>
      </c>
      <c r="D49" s="302"/>
      <c r="E49" s="277"/>
      <c r="F49" s="277"/>
      <c r="G49" s="277"/>
      <c r="H49" s="277"/>
      <c r="I49" s="277"/>
      <c r="J49" s="277"/>
      <c r="K49" s="277"/>
      <c r="L49" s="277"/>
      <c r="M49" s="277"/>
      <c r="N49" s="277"/>
    </row>
    <row r="50" spans="3:14" s="278" customFormat="1" ht="13.5">
      <c r="C50" s="319" t="s">
        <v>190</v>
      </c>
      <c r="D50" s="319"/>
      <c r="E50" s="277"/>
      <c r="F50" s="277"/>
      <c r="G50" s="277"/>
      <c r="H50" s="277"/>
      <c r="I50" s="277"/>
      <c r="J50" s="277"/>
      <c r="K50" s="277"/>
      <c r="L50" s="277"/>
      <c r="M50" s="277"/>
      <c r="N50" s="277"/>
    </row>
    <row r="51" spans="3:14" s="278" customFormat="1" ht="13.5">
      <c r="C51" s="292" t="s">
        <v>191</v>
      </c>
      <c r="D51" s="292"/>
      <c r="E51" s="277"/>
      <c r="F51" s="277"/>
      <c r="G51" s="277"/>
      <c r="H51" s="277"/>
      <c r="I51" s="277"/>
      <c r="J51" s="277"/>
      <c r="K51" s="277"/>
      <c r="L51" s="277"/>
      <c r="M51" s="277"/>
      <c r="N51" s="277"/>
    </row>
    <row r="52" spans="3:14" s="278" customFormat="1" ht="13.5">
      <c r="C52" s="319" t="s">
        <v>192</v>
      </c>
      <c r="D52" s="320"/>
      <c r="E52" s="277"/>
      <c r="F52" s="277"/>
      <c r="G52" s="277"/>
      <c r="H52" s="277"/>
      <c r="I52" s="277"/>
      <c r="J52" s="277"/>
      <c r="K52" s="277"/>
      <c r="L52" s="277"/>
      <c r="M52" s="277"/>
      <c r="N52" s="277"/>
    </row>
    <row r="53" spans="3:14" s="278" customFormat="1" ht="14.25" customHeight="1">
      <c r="C53" s="319" t="s">
        <v>193</v>
      </c>
      <c r="D53" s="319"/>
      <c r="E53" s="277"/>
      <c r="F53" s="277"/>
      <c r="G53" s="277"/>
      <c r="H53" s="277"/>
      <c r="I53" s="277"/>
      <c r="J53" s="277"/>
      <c r="K53" s="277"/>
      <c r="L53" s="277"/>
      <c r="M53" s="277"/>
      <c r="N53" s="277"/>
    </row>
    <row r="54" spans="3:14" s="278" customFormat="1" ht="13.5">
      <c r="C54" s="319" t="s">
        <v>169</v>
      </c>
      <c r="D54" s="319"/>
      <c r="E54" s="277"/>
      <c r="F54" s="277"/>
      <c r="G54" s="277"/>
      <c r="H54" s="277"/>
      <c r="I54" s="277"/>
      <c r="J54" s="277"/>
      <c r="K54" s="277"/>
      <c r="L54" s="277"/>
      <c r="M54" s="277"/>
      <c r="N54" s="277"/>
    </row>
    <row r="55" spans="3:14" s="278" customFormat="1" ht="13.5">
      <c r="C55" s="292" t="s">
        <v>168</v>
      </c>
      <c r="D55" s="292"/>
      <c r="E55" s="277"/>
      <c r="F55" s="277"/>
      <c r="G55" s="277"/>
      <c r="H55" s="277"/>
      <c r="I55" s="277"/>
      <c r="J55" s="277"/>
      <c r="K55" s="277"/>
      <c r="L55" s="277"/>
      <c r="M55" s="277"/>
      <c r="N55" s="277"/>
    </row>
    <row r="56" spans="3:14" s="278" customFormat="1" ht="13.5">
      <c r="C56" s="319" t="s">
        <v>170</v>
      </c>
      <c r="D56" s="319"/>
      <c r="E56" s="277"/>
      <c r="F56" s="277"/>
      <c r="G56" s="277"/>
      <c r="H56" s="277"/>
      <c r="I56" s="277"/>
      <c r="J56" s="277"/>
      <c r="K56" s="277"/>
      <c r="L56" s="277"/>
      <c r="M56" s="277"/>
      <c r="N56" s="277"/>
    </row>
    <row r="57" spans="3:14" s="278" customFormat="1" ht="13.5">
      <c r="C57" s="292" t="s">
        <v>171</v>
      </c>
      <c r="D57" s="292"/>
      <c r="E57" s="277"/>
      <c r="F57" s="277"/>
      <c r="G57" s="277"/>
      <c r="H57" s="277"/>
      <c r="I57" s="277"/>
      <c r="J57" s="277"/>
      <c r="K57" s="277"/>
      <c r="L57" s="277"/>
      <c r="M57" s="277"/>
      <c r="N57" s="277"/>
    </row>
    <row r="58" spans="3:14" s="278" customFormat="1" ht="13.5">
      <c r="C58" s="306" t="s">
        <v>157</v>
      </c>
      <c r="D58" s="305"/>
      <c r="E58" s="277"/>
      <c r="F58" s="277"/>
      <c r="G58" s="277"/>
      <c r="H58" s="277"/>
      <c r="I58" s="277"/>
      <c r="J58" s="277"/>
      <c r="K58" s="277"/>
      <c r="L58" s="277"/>
      <c r="M58" s="277"/>
      <c r="N58" s="277"/>
    </row>
    <row r="59" spans="3:14" s="278" customFormat="1" ht="13.5">
      <c r="C59" s="319" t="s">
        <v>155</v>
      </c>
      <c r="D59" s="320"/>
      <c r="E59" s="277"/>
      <c r="F59" s="277"/>
      <c r="G59" s="277"/>
      <c r="H59" s="277"/>
      <c r="I59" s="277"/>
      <c r="J59" s="277"/>
      <c r="K59" s="277"/>
      <c r="L59" s="277"/>
      <c r="M59" s="277"/>
      <c r="N59" s="277"/>
    </row>
    <row r="60" spans="3:14" s="278" customFormat="1" ht="13.5">
      <c r="C60" s="292" t="s">
        <v>172</v>
      </c>
      <c r="D60" s="305"/>
      <c r="E60" s="277"/>
      <c r="F60" s="277"/>
      <c r="G60" s="277"/>
      <c r="H60" s="277"/>
      <c r="I60" s="277"/>
      <c r="J60" s="277"/>
      <c r="K60" s="277"/>
      <c r="L60" s="277"/>
      <c r="M60" s="277"/>
      <c r="N60" s="277"/>
    </row>
    <row r="61" spans="3:14" s="278" customFormat="1" ht="13.5">
      <c r="C61" s="319" t="s">
        <v>175</v>
      </c>
      <c r="D61" s="320"/>
      <c r="E61" s="277"/>
      <c r="F61" s="277"/>
      <c r="G61" s="277"/>
      <c r="H61" s="277"/>
      <c r="I61" s="277"/>
      <c r="J61" s="277"/>
      <c r="K61" s="277"/>
      <c r="L61" s="277"/>
      <c r="M61" s="277"/>
      <c r="N61" s="277"/>
    </row>
    <row r="62" spans="3:14" s="278" customFormat="1" ht="13.5">
      <c r="C62" s="319" t="s">
        <v>176</v>
      </c>
      <c r="D62" s="319"/>
      <c r="E62" s="277"/>
      <c r="F62" s="277"/>
      <c r="G62" s="277"/>
      <c r="H62" s="277"/>
      <c r="I62" s="277"/>
      <c r="J62" s="277"/>
      <c r="K62" s="277"/>
      <c r="L62" s="277"/>
      <c r="M62" s="277"/>
      <c r="N62" s="277"/>
    </row>
    <row r="63" spans="3:14" s="278" customFormat="1" ht="13.5">
      <c r="C63" s="318" t="s">
        <v>177</v>
      </c>
      <c r="D63" s="318"/>
      <c r="E63" s="277"/>
      <c r="F63" s="277"/>
      <c r="G63" s="277"/>
      <c r="H63" s="277"/>
      <c r="I63" s="277"/>
      <c r="J63" s="277"/>
      <c r="K63" s="277"/>
      <c r="L63" s="277"/>
      <c r="M63" s="277"/>
      <c r="N63" s="277"/>
    </row>
    <row r="64" spans="3:14" s="278" customFormat="1" ht="13.5">
      <c r="C64" s="303" t="s">
        <v>178</v>
      </c>
      <c r="D64" s="303"/>
      <c r="E64" s="277"/>
      <c r="F64" s="277"/>
      <c r="G64" s="277"/>
      <c r="H64" s="277"/>
      <c r="I64" s="277"/>
      <c r="J64" s="277"/>
      <c r="K64" s="277"/>
      <c r="L64" s="277"/>
      <c r="M64" s="277"/>
      <c r="N64" s="277"/>
    </row>
    <row r="65" spans="3:14" s="278" customFormat="1" ht="13.5">
      <c r="C65" s="343" t="s">
        <v>212</v>
      </c>
      <c r="D65" s="343"/>
      <c r="E65" s="277"/>
      <c r="F65" s="277"/>
      <c r="G65" s="277"/>
      <c r="H65" s="277"/>
      <c r="I65" s="277"/>
      <c r="J65" s="277"/>
      <c r="K65" s="277"/>
      <c r="L65" s="277"/>
      <c r="M65" s="277"/>
      <c r="N65" s="277"/>
    </row>
    <row r="66" spans="3:14" s="278" customFormat="1" ht="14.25" customHeight="1">
      <c r="C66" s="318" t="s">
        <v>184</v>
      </c>
      <c r="D66" s="318"/>
      <c r="E66" s="277"/>
      <c r="F66" s="277"/>
      <c r="G66" s="277"/>
      <c r="H66" s="277"/>
      <c r="I66" s="277"/>
      <c r="J66" s="277"/>
      <c r="K66" s="277"/>
      <c r="L66" s="277"/>
      <c r="M66" s="277"/>
      <c r="N66" s="277"/>
    </row>
    <row r="67" spans="3:14" s="278" customFormat="1" ht="13.5">
      <c r="C67" s="303" t="s">
        <v>137</v>
      </c>
      <c r="D67" s="303"/>
      <c r="E67" s="277"/>
      <c r="F67" s="277"/>
      <c r="G67" s="277"/>
      <c r="H67" s="277"/>
      <c r="I67" s="277"/>
      <c r="J67" s="277"/>
      <c r="K67" s="277"/>
      <c r="L67" s="277"/>
      <c r="M67" s="277"/>
      <c r="N67" s="277"/>
    </row>
    <row r="68" spans="3:14" s="278" customFormat="1" ht="13.5">
      <c r="C68" s="334" t="s">
        <v>138</v>
      </c>
      <c r="D68" s="318"/>
      <c r="E68" s="277"/>
      <c r="F68" s="277"/>
      <c r="G68" s="277"/>
      <c r="H68" s="277"/>
      <c r="I68" s="277"/>
      <c r="J68" s="277"/>
      <c r="K68" s="277"/>
      <c r="L68" s="277"/>
      <c r="M68" s="277"/>
      <c r="N68" s="277"/>
    </row>
    <row r="69" spans="3:14" s="278" customFormat="1" ht="13.5">
      <c r="C69" s="303" t="s">
        <v>139</v>
      </c>
      <c r="D69" s="303"/>
      <c r="E69" s="277"/>
      <c r="F69" s="277"/>
      <c r="G69" s="277"/>
      <c r="H69" s="277"/>
      <c r="I69" s="277"/>
      <c r="J69" s="277"/>
      <c r="K69" s="277"/>
      <c r="L69" s="277"/>
      <c r="M69" s="277"/>
      <c r="N69" s="277"/>
    </row>
    <row r="70" spans="3:14" s="278" customFormat="1" ht="13.5">
      <c r="C70" s="334" t="s">
        <v>140</v>
      </c>
      <c r="D70" s="334"/>
      <c r="E70" s="277"/>
      <c r="F70" s="277"/>
      <c r="G70" s="277"/>
      <c r="H70" s="277"/>
      <c r="I70" s="277"/>
      <c r="J70" s="277"/>
      <c r="K70" s="277"/>
      <c r="L70" s="277"/>
      <c r="M70" s="277"/>
      <c r="N70" s="277"/>
    </row>
    <row r="71" spans="3:14" s="278" customFormat="1" ht="13.5">
      <c r="C71" s="318" t="s">
        <v>141</v>
      </c>
      <c r="D71" s="318"/>
      <c r="E71" s="277"/>
      <c r="F71" s="277"/>
      <c r="G71" s="277"/>
      <c r="H71" s="277"/>
      <c r="I71" s="277"/>
      <c r="J71" s="277"/>
      <c r="K71" s="277"/>
      <c r="L71" s="277"/>
      <c r="M71" s="277"/>
      <c r="N71" s="277"/>
    </row>
    <row r="72" spans="3:14" s="278" customFormat="1" ht="14.25" customHeight="1">
      <c r="C72" s="303" t="s">
        <v>142</v>
      </c>
      <c r="D72" s="303"/>
      <c r="E72" s="277"/>
      <c r="F72" s="277"/>
      <c r="G72" s="277"/>
      <c r="H72" s="277"/>
      <c r="I72" s="277"/>
      <c r="J72" s="277"/>
      <c r="K72" s="277"/>
      <c r="L72" s="277"/>
      <c r="M72" s="277"/>
      <c r="N72" s="277"/>
    </row>
    <row r="73" spans="3:14" s="278" customFormat="1" ht="13.5">
      <c r="C73" s="318" t="s">
        <v>179</v>
      </c>
      <c r="D73" s="318"/>
      <c r="E73" s="277"/>
      <c r="F73" s="277"/>
      <c r="G73" s="277"/>
      <c r="H73" s="277"/>
      <c r="I73" s="277"/>
      <c r="J73" s="277"/>
      <c r="K73" s="277"/>
      <c r="L73" s="277"/>
      <c r="M73" s="277"/>
      <c r="N73" s="277"/>
    </row>
    <row r="74" spans="3:14" s="278" customFormat="1" ht="13.5">
      <c r="C74" s="303" t="s">
        <v>143</v>
      </c>
      <c r="D74" s="303"/>
      <c r="E74" s="277"/>
      <c r="F74" s="277"/>
      <c r="G74" s="277"/>
      <c r="H74" s="277"/>
      <c r="I74" s="277"/>
      <c r="J74" s="277"/>
      <c r="K74" s="277"/>
      <c r="L74" s="277"/>
      <c r="M74" s="277"/>
      <c r="N74" s="277"/>
    </row>
    <row r="75" spans="3:14" s="278" customFormat="1" ht="13.5">
      <c r="C75" s="334" t="s">
        <v>144</v>
      </c>
      <c r="D75" s="334"/>
      <c r="E75" s="277"/>
      <c r="F75" s="277"/>
      <c r="G75" s="277"/>
      <c r="H75" s="277"/>
      <c r="I75" s="277"/>
      <c r="J75" s="277"/>
      <c r="K75" s="277"/>
      <c r="L75" s="277"/>
      <c r="M75" s="277"/>
      <c r="N75" s="277"/>
    </row>
    <row r="76" spans="3:14" s="278" customFormat="1" ht="13.5">
      <c r="C76" s="318" t="s">
        <v>145</v>
      </c>
      <c r="D76" s="318"/>
      <c r="E76" s="277"/>
      <c r="F76" s="277"/>
      <c r="G76" s="277"/>
      <c r="H76" s="277"/>
      <c r="I76" s="277"/>
      <c r="J76" s="277"/>
      <c r="K76" s="277"/>
      <c r="L76" s="277"/>
      <c r="M76" s="277"/>
      <c r="N76" s="277"/>
    </row>
    <row r="77" spans="3:14" s="278" customFormat="1" ht="13.5">
      <c r="C77" s="303" t="s">
        <v>180</v>
      </c>
      <c r="D77" s="303"/>
      <c r="E77" s="277"/>
      <c r="F77" s="277"/>
      <c r="G77" s="277"/>
      <c r="H77" s="277"/>
      <c r="I77" s="277"/>
      <c r="J77" s="277"/>
      <c r="K77" s="277"/>
      <c r="L77" s="277"/>
      <c r="M77" s="277"/>
      <c r="N77" s="277"/>
    </row>
    <row r="78" spans="3:14" s="278" customFormat="1" ht="13.5">
      <c r="C78" s="303" t="s">
        <v>181</v>
      </c>
      <c r="D78" s="303"/>
      <c r="E78" s="277"/>
      <c r="F78" s="277"/>
      <c r="G78" s="277"/>
      <c r="H78" s="277"/>
      <c r="I78" s="277"/>
      <c r="J78" s="277"/>
      <c r="K78" s="277"/>
      <c r="L78" s="277"/>
      <c r="M78" s="277"/>
      <c r="N78" s="277"/>
    </row>
    <row r="79" spans="3:14" s="278" customFormat="1" ht="13.5">
      <c r="C79" s="303" t="s">
        <v>182</v>
      </c>
      <c r="D79" s="303"/>
      <c r="E79" s="277"/>
      <c r="F79" s="277"/>
      <c r="G79" s="277"/>
      <c r="H79" s="277"/>
      <c r="I79" s="277"/>
      <c r="J79" s="277"/>
      <c r="K79" s="277"/>
      <c r="L79" s="277"/>
      <c r="M79" s="277"/>
      <c r="N79" s="277"/>
    </row>
    <row r="80" spans="3:14" s="278" customFormat="1" ht="14.25">
      <c r="C80" s="332" t="s">
        <v>185</v>
      </c>
      <c r="D80" s="332"/>
      <c r="E80" s="277"/>
      <c r="F80" s="277"/>
      <c r="G80" s="277"/>
      <c r="H80" s="277"/>
      <c r="I80" s="277"/>
      <c r="J80" s="277"/>
      <c r="K80" s="277"/>
      <c r="L80" s="277"/>
      <c r="M80" s="277"/>
      <c r="N80" s="277"/>
    </row>
    <row r="81" spans="3:14" s="278" customFormat="1" ht="14.25">
      <c r="C81" s="332" t="s">
        <v>186</v>
      </c>
      <c r="D81" s="332"/>
      <c r="E81" s="277"/>
      <c r="F81" s="277"/>
      <c r="G81" s="277"/>
      <c r="H81" s="277"/>
      <c r="I81" s="277"/>
      <c r="J81" s="277"/>
      <c r="K81" s="277"/>
      <c r="L81" s="277"/>
      <c r="M81" s="277"/>
      <c r="N81" s="277"/>
    </row>
    <row r="82" spans="3:14" s="278" customFormat="1" ht="13.5">
      <c r="C82" s="318" t="s">
        <v>183</v>
      </c>
      <c r="D82" s="318"/>
      <c r="E82" s="277"/>
      <c r="F82" s="277"/>
      <c r="G82" s="277"/>
      <c r="H82" s="277"/>
      <c r="I82" s="277"/>
      <c r="J82" s="277"/>
      <c r="K82" s="277"/>
      <c r="L82" s="277"/>
      <c r="M82" s="277"/>
      <c r="N82" s="277"/>
    </row>
    <row r="83" spans="3:14" s="278" customFormat="1" ht="14.25" customHeight="1">
      <c r="C83" s="318" t="s">
        <v>211</v>
      </c>
      <c r="D83" s="318"/>
      <c r="E83" s="277"/>
      <c r="F83" s="277"/>
      <c r="G83" s="277"/>
      <c r="H83" s="277"/>
      <c r="I83" s="277"/>
      <c r="J83" s="277"/>
      <c r="K83" s="277"/>
      <c r="L83" s="277"/>
      <c r="M83" s="277"/>
      <c r="N83" s="277"/>
    </row>
    <row r="84" spans="3:14" s="278" customFormat="1" ht="14.25" customHeight="1">
      <c r="C84" s="303" t="s">
        <v>187</v>
      </c>
      <c r="D84" s="303"/>
      <c r="E84" s="277"/>
      <c r="F84" s="277"/>
      <c r="G84" s="277"/>
      <c r="H84" s="277"/>
      <c r="I84" s="277"/>
      <c r="J84" s="277"/>
      <c r="K84" s="277"/>
      <c r="L84" s="277"/>
      <c r="M84" s="277"/>
      <c r="N84" s="277"/>
    </row>
    <row r="85" spans="3:14" s="278" customFormat="1" ht="3" customHeight="1">
      <c r="C85" s="275"/>
      <c r="D85" s="275"/>
      <c r="E85" s="277"/>
      <c r="F85" s="277"/>
      <c r="G85" s="277"/>
      <c r="H85" s="277"/>
      <c r="I85" s="277"/>
      <c r="J85" s="277"/>
      <c r="K85" s="277"/>
      <c r="L85" s="277"/>
      <c r="M85" s="277"/>
      <c r="N85" s="277"/>
    </row>
    <row r="86" spans="3:14" s="278" customFormat="1" ht="13.5">
      <c r="C86" s="325" t="s">
        <v>207</v>
      </c>
      <c r="D86" s="325"/>
      <c r="E86" s="277"/>
      <c r="F86" s="277"/>
      <c r="G86" s="277"/>
      <c r="H86" s="277"/>
      <c r="I86" s="277"/>
      <c r="J86" s="277"/>
      <c r="K86" s="277"/>
      <c r="L86" s="277"/>
      <c r="M86" s="277"/>
      <c r="N86" s="277"/>
    </row>
    <row r="87" spans="3:14" s="278" customFormat="1" ht="13.5">
      <c r="C87" s="275" t="s">
        <v>208</v>
      </c>
      <c r="D87" s="275"/>
      <c r="E87" s="277"/>
      <c r="F87" s="277"/>
      <c r="G87" s="277"/>
      <c r="H87" s="277"/>
      <c r="I87" s="277"/>
      <c r="J87" s="277"/>
      <c r="K87" s="277"/>
      <c r="L87" s="277"/>
      <c r="M87" s="277"/>
      <c r="N87" s="277"/>
    </row>
    <row r="88" spans="3:14" s="278" customFormat="1" ht="3" customHeight="1">
      <c r="C88" s="275"/>
      <c r="D88" s="281"/>
      <c r="E88" s="277"/>
      <c r="F88" s="277"/>
      <c r="G88" s="277"/>
      <c r="H88" s="277"/>
      <c r="I88" s="277"/>
      <c r="J88" s="277"/>
      <c r="K88" s="277"/>
      <c r="L88" s="277"/>
      <c r="M88" s="277"/>
      <c r="N88" s="277"/>
    </row>
    <row r="89" spans="3:14" s="278" customFormat="1" ht="13.5">
      <c r="C89" s="325" t="s">
        <v>196</v>
      </c>
      <c r="D89" s="325"/>
      <c r="E89" s="277"/>
      <c r="F89" s="277"/>
      <c r="G89" s="277"/>
      <c r="H89" s="277"/>
      <c r="I89" s="277"/>
      <c r="J89" s="277"/>
      <c r="K89" s="277"/>
      <c r="L89" s="277"/>
      <c r="M89" s="277"/>
      <c r="N89" s="277"/>
    </row>
    <row r="90" spans="3:14" s="278" customFormat="1" ht="3" customHeight="1">
      <c r="C90" s="275"/>
      <c r="D90" s="275"/>
      <c r="E90" s="277"/>
      <c r="F90" s="277"/>
      <c r="G90" s="277"/>
      <c r="H90" s="277"/>
      <c r="I90" s="277"/>
      <c r="J90" s="277"/>
      <c r="K90" s="277"/>
      <c r="L90" s="277"/>
      <c r="M90" s="277"/>
      <c r="N90" s="277"/>
    </row>
    <row r="91" spans="3:14" s="278" customFormat="1" ht="13.5">
      <c r="C91" s="308" t="s">
        <v>197</v>
      </c>
      <c r="D91" s="281"/>
      <c r="E91" s="277"/>
      <c r="F91" s="277"/>
      <c r="G91" s="277"/>
      <c r="H91" s="277"/>
      <c r="I91" s="277"/>
      <c r="J91" s="277"/>
      <c r="K91" s="277"/>
      <c r="L91" s="277"/>
      <c r="M91" s="277"/>
      <c r="N91" s="277"/>
    </row>
    <row r="92" spans="3:14" s="278" customFormat="1" ht="3" customHeight="1">
      <c r="C92" s="275"/>
      <c r="D92" s="281"/>
      <c r="E92" s="277"/>
      <c r="F92" s="277"/>
      <c r="G92" s="277"/>
      <c r="H92" s="277"/>
      <c r="I92" s="277"/>
      <c r="J92" s="277"/>
      <c r="K92" s="277"/>
      <c r="L92" s="277"/>
      <c r="M92" s="277"/>
      <c r="N92" s="277"/>
    </row>
    <row r="93" spans="3:14" s="278" customFormat="1" ht="13.5">
      <c r="C93" s="329" t="s">
        <v>146</v>
      </c>
      <c r="D93" s="329"/>
      <c r="E93" s="277"/>
      <c r="F93" s="277"/>
      <c r="G93" s="277"/>
      <c r="H93" s="277"/>
      <c r="I93" s="277"/>
      <c r="J93" s="277"/>
      <c r="K93" s="277"/>
      <c r="L93" s="277"/>
      <c r="M93" s="277"/>
      <c r="N93" s="277"/>
    </row>
    <row r="94" spans="3:4" ht="3" customHeight="1">
      <c r="C94" s="282"/>
      <c r="D94" s="284"/>
    </row>
    <row r="95" spans="3:4" ht="13.5">
      <c r="C95" s="326" t="s">
        <v>202</v>
      </c>
      <c r="D95" s="327"/>
    </row>
    <row r="96" ht="13.5">
      <c r="C96" s="283" t="s">
        <v>147</v>
      </c>
    </row>
    <row r="97" spans="3:4" ht="3" customHeight="1">
      <c r="C97" s="279"/>
      <c r="D97" s="272"/>
    </row>
    <row r="98" spans="3:4" ht="30" customHeight="1">
      <c r="C98" s="328" t="s">
        <v>203</v>
      </c>
      <c r="D98" s="327"/>
    </row>
    <row r="99" spans="3:14" s="278" customFormat="1" ht="13.5">
      <c r="C99" s="329" t="s">
        <v>204</v>
      </c>
      <c r="D99" s="329"/>
      <c r="E99" s="277"/>
      <c r="F99" s="277"/>
      <c r="G99" s="277"/>
      <c r="H99" s="277"/>
      <c r="I99" s="277"/>
      <c r="J99" s="277"/>
      <c r="K99" s="277"/>
      <c r="L99" s="277"/>
      <c r="M99" s="277"/>
      <c r="N99" s="277"/>
    </row>
    <row r="100" spans="3:14" s="278" customFormat="1" ht="13.5">
      <c r="C100" s="329" t="s">
        <v>205</v>
      </c>
      <c r="D100" s="329"/>
      <c r="E100" s="277"/>
      <c r="F100" s="277"/>
      <c r="G100" s="277"/>
      <c r="H100" s="277"/>
      <c r="I100" s="277"/>
      <c r="J100" s="277"/>
      <c r="K100" s="277"/>
      <c r="L100" s="277"/>
      <c r="M100" s="277"/>
      <c r="N100" s="277"/>
    </row>
    <row r="101" ht="3" customHeight="1"/>
    <row r="102" spans="3:4" ht="13.5">
      <c r="C102" s="322" t="s">
        <v>40</v>
      </c>
      <c r="D102" s="322"/>
    </row>
    <row r="103" spans="3:4" ht="3" customHeight="1">
      <c r="C103" s="271"/>
      <c r="D103" s="271"/>
    </row>
    <row r="104" spans="3:4" ht="14.25" customHeight="1">
      <c r="C104" s="324" t="s">
        <v>45</v>
      </c>
      <c r="D104" s="324"/>
    </row>
    <row r="105" spans="3:4" ht="13.5">
      <c r="C105" s="323" t="s">
        <v>124</v>
      </c>
      <c r="D105" s="323"/>
    </row>
    <row r="106" spans="3:4" ht="13.5">
      <c r="C106" s="316"/>
      <c r="D106" s="316"/>
    </row>
    <row r="107" spans="3:4" ht="29.25" customHeight="1">
      <c r="C107" s="321" t="s">
        <v>194</v>
      </c>
      <c r="D107" s="321"/>
    </row>
    <row r="108" spans="3:4" ht="13.5">
      <c r="C108" s="316"/>
      <c r="D108" s="316"/>
    </row>
    <row r="109" spans="3:4" ht="28.5" customHeight="1">
      <c r="C109" s="317" t="s">
        <v>195</v>
      </c>
      <c r="D109" s="317"/>
    </row>
    <row r="110" spans="3:4" ht="13.5">
      <c r="C110" s="309"/>
      <c r="D110" s="309"/>
    </row>
    <row r="111" spans="3:4" ht="13.5">
      <c r="C111" s="309"/>
      <c r="D111" s="309"/>
    </row>
  </sheetData>
  <sheetProtection password="DE4F" sheet="1"/>
  <mergeCells count="56">
    <mergeCell ref="C65:D65"/>
    <mergeCell ref="C44:D44"/>
    <mergeCell ref="C45:D45"/>
    <mergeCell ref="C46:D46"/>
    <mergeCell ref="C48:D48"/>
    <mergeCell ref="C56:D56"/>
    <mergeCell ref="C59:D59"/>
    <mergeCell ref="C62:D62"/>
    <mergeCell ref="C61:D61"/>
    <mergeCell ref="C63:D63"/>
    <mergeCell ref="A1:D1"/>
    <mergeCell ref="A2:D2"/>
    <mergeCell ref="B3:D3"/>
    <mergeCell ref="C6:D6"/>
    <mergeCell ref="C13:D13"/>
    <mergeCell ref="C15:D15"/>
    <mergeCell ref="C38:D38"/>
    <mergeCell ref="C22:D22"/>
    <mergeCell ref="C23:D23"/>
    <mergeCell ref="C27:D27"/>
    <mergeCell ref="C28:D28"/>
    <mergeCell ref="C68:D68"/>
    <mergeCell ref="C50:D50"/>
    <mergeCell ref="C54:D54"/>
    <mergeCell ref="C29:D29"/>
    <mergeCell ref="C34:D34"/>
    <mergeCell ref="C36:D36"/>
    <mergeCell ref="C80:D80"/>
    <mergeCell ref="C81:D81"/>
    <mergeCell ref="C82:D82"/>
    <mergeCell ref="C37:D37"/>
    <mergeCell ref="C41:D41"/>
    <mergeCell ref="C70:D70"/>
    <mergeCell ref="C71:D71"/>
    <mergeCell ref="C73:D73"/>
    <mergeCell ref="C75:D75"/>
    <mergeCell ref="C104:D104"/>
    <mergeCell ref="C86:D86"/>
    <mergeCell ref="C8:D8"/>
    <mergeCell ref="C95:D95"/>
    <mergeCell ref="C98:D98"/>
    <mergeCell ref="C93:D93"/>
    <mergeCell ref="C89:D89"/>
    <mergeCell ref="C99:D99"/>
    <mergeCell ref="C100:D100"/>
    <mergeCell ref="C76:D76"/>
    <mergeCell ref="C108:D108"/>
    <mergeCell ref="C109:D109"/>
    <mergeCell ref="C66:D66"/>
    <mergeCell ref="C83:D83"/>
    <mergeCell ref="C52:D52"/>
    <mergeCell ref="C53:D53"/>
    <mergeCell ref="C107:D107"/>
    <mergeCell ref="C106:D106"/>
    <mergeCell ref="C102:D102"/>
    <mergeCell ref="C105:D105"/>
  </mergeCells>
  <hyperlinks>
    <hyperlink ref="C105" r:id="rId1" display="Oakland University Travel Expense Reimbursement Policy"/>
    <hyperlink ref="C105:D105" r:id="rId2" display="Oakland University Administrative Policy &amp; Procedure #1200-Travel"/>
    <hyperlink ref="C29:D29" r:id="rId3" display="          - Rate is determined by the IRS and will populate automatically in the TES based on dates entered."/>
    <hyperlink ref="C68" r:id="rId4" display="http://aoprals.state.gov/web920/per_diem.asp"/>
    <hyperlink ref="C70" r:id="rId5" display="http://aoprals.state.gov/web920/per_diem.asp"/>
    <hyperlink ref="C70:D70" r:id="rId6" display="                                                                                   http://www.defensetravel.dod.mil/site/perdiemCalc.cfm"/>
    <hyperlink ref="C75" r:id="rId7" display="http://aoprals.state.gov/web920/per_diem.asp"/>
    <hyperlink ref="C75:D75" r:id="rId8" display="                                       http://aoprals.state.gov/content.asp?content_id=114&amp;menu_id=78"/>
    <hyperlink ref="C107" r:id="rId9" tooltip="AP Directory" display="If you have questions about how to itemize your expenses, contact Accounts Payable. The Staff Directory is located on the Accounts Payable website."/>
    <hyperlink ref="C109" r:id="rId10" display="To report any problems or errors within this spreadsheet, please send an e-mail to payables@oakland.edu ."/>
  </hyperlinks>
  <printOptions/>
  <pageMargins left="0.7" right="0.7" top="0.75" bottom="0.75" header="0.3" footer="0.3"/>
  <pageSetup fitToHeight="0" fitToWidth="1" horizontalDpi="600" verticalDpi="600" orientation="portrait" scale="77" r:id="rId11"/>
  <headerFooter>
    <oddFooter>&amp;C&amp;"Arial,Regular"&amp;10&amp;P of &amp;N&amp;R&amp;"Arial,Regular"&amp;10Updated 04/2012</oddFooter>
  </headerFooter>
</worksheet>
</file>

<file path=xl/worksheets/sheet10.xml><?xml version="1.0" encoding="utf-8"?>
<worksheet xmlns="http://schemas.openxmlformats.org/spreadsheetml/2006/main" xmlns:r="http://schemas.openxmlformats.org/officeDocument/2006/relationships">
  <sheetPr codeName="Sheet4">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103</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6.5" customHeight="1" hidden="1">
      <c r="A10" s="61"/>
      <c r="B10" s="62"/>
      <c r="C10" s="62"/>
      <c r="D10" s="62"/>
      <c r="E10" s="62"/>
      <c r="F10" s="62"/>
      <c r="G10" s="62"/>
      <c r="H10" s="62"/>
      <c r="I10" s="62"/>
      <c r="J10" s="62"/>
      <c r="K10" s="62"/>
      <c r="L10" s="63"/>
      <c r="M10" s="620">
        <v>57</v>
      </c>
      <c r="N10" s="621"/>
      <c r="O10" s="621"/>
      <c r="P10" s="620">
        <v>58</v>
      </c>
      <c r="Q10" s="621"/>
      <c r="R10" s="621"/>
      <c r="S10" s="620">
        <v>59</v>
      </c>
      <c r="T10" s="621"/>
      <c r="U10" s="621"/>
      <c r="V10" s="620">
        <v>60</v>
      </c>
      <c r="W10" s="621"/>
      <c r="X10" s="621"/>
      <c r="Y10" s="620">
        <v>61</v>
      </c>
      <c r="Z10" s="621"/>
      <c r="AA10" s="621"/>
      <c r="AB10" s="620">
        <v>62</v>
      </c>
      <c r="AC10" s="621"/>
      <c r="AD10" s="621"/>
      <c r="AE10" s="620">
        <v>63</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8'!AE11+1,"")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102</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5.75" customHeight="1" hidden="1">
      <c r="A10" s="61"/>
      <c r="B10" s="62"/>
      <c r="C10" s="62"/>
      <c r="D10" s="62"/>
      <c r="E10" s="62"/>
      <c r="F10" s="62"/>
      <c r="G10" s="62"/>
      <c r="H10" s="62"/>
      <c r="I10" s="62"/>
      <c r="J10" s="62"/>
      <c r="K10" s="62"/>
      <c r="L10" s="63"/>
      <c r="M10" s="620">
        <v>64</v>
      </c>
      <c r="N10" s="621"/>
      <c r="O10" s="621"/>
      <c r="P10" s="620">
        <v>65</v>
      </c>
      <c r="Q10" s="621"/>
      <c r="R10" s="621"/>
      <c r="S10" s="620">
        <v>66</v>
      </c>
      <c r="T10" s="621"/>
      <c r="U10" s="621"/>
      <c r="V10" s="620">
        <v>67</v>
      </c>
      <c r="W10" s="621"/>
      <c r="X10" s="621"/>
      <c r="Y10" s="620">
        <v>68</v>
      </c>
      <c r="Z10" s="621"/>
      <c r="AA10" s="621"/>
      <c r="AB10" s="620">
        <v>69</v>
      </c>
      <c r="AC10" s="621"/>
      <c r="AD10" s="621"/>
      <c r="AE10" s="620">
        <v>70</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9'!AE11+1,"")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E10:AE33 S10:S33 V10:V33 Y10:Y33 AF13:AG19 D22:L22 P10:P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AB10:AB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21">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104</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20">
        <v>71</v>
      </c>
      <c r="N10" s="621"/>
      <c r="O10" s="621"/>
      <c r="P10" s="620">
        <v>72</v>
      </c>
      <c r="Q10" s="621"/>
      <c r="R10" s="621"/>
      <c r="S10" s="620">
        <v>73</v>
      </c>
      <c r="T10" s="621"/>
      <c r="U10" s="621"/>
      <c r="V10" s="620">
        <v>74</v>
      </c>
      <c r="W10" s="621"/>
      <c r="X10" s="621"/>
      <c r="Y10" s="620">
        <v>75</v>
      </c>
      <c r="Z10" s="621"/>
      <c r="AA10" s="621"/>
      <c r="AB10" s="620">
        <v>76</v>
      </c>
      <c r="AC10" s="621"/>
      <c r="AD10" s="621"/>
      <c r="AE10" s="620">
        <v>77</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10'!AE11+1,"")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50"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12"/>
      <c r="AM27" s="12"/>
      <c r="AN27" s="12"/>
      <c r="AO27" s="12"/>
      <c r="AP27" s="12"/>
      <c r="AQ27" s="12"/>
      <c r="AR27" s="12"/>
      <c r="AS27" s="12"/>
      <c r="AT27" s="12"/>
      <c r="AU27" s="12"/>
      <c r="AV27" s="12"/>
      <c r="AW27" s="12"/>
      <c r="AX27" s="12"/>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2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105</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20">
        <v>78</v>
      </c>
      <c r="N10" s="621"/>
      <c r="O10" s="621"/>
      <c r="P10" s="620">
        <v>79</v>
      </c>
      <c r="Q10" s="621"/>
      <c r="R10" s="621"/>
      <c r="S10" s="620">
        <v>80</v>
      </c>
      <c r="T10" s="621"/>
      <c r="U10" s="621"/>
      <c r="V10" s="620">
        <v>81</v>
      </c>
      <c r="W10" s="621"/>
      <c r="X10" s="621"/>
      <c r="Y10" s="620">
        <v>82</v>
      </c>
      <c r="Z10" s="621"/>
      <c r="AA10" s="621"/>
      <c r="AB10" s="620">
        <v>83</v>
      </c>
      <c r="AC10" s="621"/>
      <c r="AD10" s="621"/>
      <c r="AE10" s="620">
        <v>84</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11'!AE11+1,"")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2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134</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20">
        <v>85</v>
      </c>
      <c r="N10" s="621"/>
      <c r="O10" s="621"/>
      <c r="P10" s="620">
        <v>86</v>
      </c>
      <c r="Q10" s="621"/>
      <c r="R10" s="621"/>
      <c r="S10" s="620">
        <v>87</v>
      </c>
      <c r="T10" s="621"/>
      <c r="U10" s="621"/>
      <c r="V10" s="620">
        <v>88</v>
      </c>
      <c r="W10" s="621"/>
      <c r="X10" s="621"/>
      <c r="Y10" s="620">
        <v>89</v>
      </c>
      <c r="Z10" s="621"/>
      <c r="AA10" s="621"/>
      <c r="AB10" s="620">
        <v>90</v>
      </c>
      <c r="AC10" s="621"/>
      <c r="AD10" s="621"/>
      <c r="AE10" s="620">
        <v>91</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12'!AE11+1,"")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codeName="Sheet10"/>
  <dimension ref="A1:AC503"/>
  <sheetViews>
    <sheetView showGridLines="0" zoomScalePageLayoutView="0" workbookViewId="0" topLeftCell="A1">
      <selection activeCell="O9" sqref="O9"/>
    </sheetView>
  </sheetViews>
  <sheetFormatPr defaultColWidth="9.00390625" defaultRowHeight="14.25"/>
  <cols>
    <col min="1" max="1" width="16.375" style="16" customWidth="1"/>
    <col min="2" max="2" width="8.50390625" style="16" customWidth="1"/>
    <col min="3" max="4" width="8.375" style="16" customWidth="1"/>
    <col min="5" max="5" width="11.375" style="16" customWidth="1"/>
    <col min="6" max="6" width="5.625" style="16" customWidth="1"/>
    <col min="7" max="7" width="4.875" style="16" customWidth="1"/>
    <col min="8" max="8" width="9.25390625" style="16" customWidth="1"/>
    <col min="9" max="9" width="15.625" style="16" customWidth="1"/>
    <col min="10" max="10" width="8.875" style="16" customWidth="1"/>
    <col min="11" max="11" width="6.00390625" style="169" customWidth="1"/>
    <col min="12" max="12" width="7.00390625" style="169" customWidth="1"/>
    <col min="13" max="13" width="9.875" style="169" customWidth="1"/>
    <col min="14" max="14" width="9.125" style="169" customWidth="1"/>
    <col min="15" max="15" width="8.625" style="169" customWidth="1"/>
    <col min="16" max="16" width="10.125" style="169" customWidth="1"/>
    <col min="17" max="17" width="13.25390625" style="169" customWidth="1"/>
    <col min="18" max="18" width="7.375" style="169" customWidth="1"/>
    <col min="19" max="19" width="7.25390625" style="169" customWidth="1"/>
    <col min="20" max="20" width="8.875" style="169" customWidth="1"/>
    <col min="21" max="21" width="11.375" style="169" customWidth="1"/>
    <col min="22" max="22" width="11.25390625" style="169" customWidth="1"/>
    <col min="23" max="23" width="9.50390625" style="169" customWidth="1"/>
    <col min="24" max="24" width="9.375" style="170" customWidth="1"/>
    <col min="25" max="25" width="8.00390625" style="170" customWidth="1"/>
    <col min="26" max="26" width="17.50390625" style="170" customWidth="1"/>
    <col min="27" max="27" width="19.375" style="169" customWidth="1"/>
    <col min="28" max="28" width="23.875" style="16" customWidth="1"/>
    <col min="29" max="16384" width="9.00390625" style="16" customWidth="1"/>
  </cols>
  <sheetData>
    <row r="1" spans="1:17" ht="24">
      <c r="A1" s="699" t="s">
        <v>73</v>
      </c>
      <c r="B1" s="700"/>
      <c r="C1" s="700"/>
      <c r="D1" s="700"/>
      <c r="E1" s="700"/>
      <c r="F1" s="700"/>
      <c r="G1" s="700"/>
      <c r="H1" s="701"/>
      <c r="I1" s="701"/>
      <c r="J1" s="189"/>
      <c r="K1" s="168"/>
      <c r="L1" s="168"/>
      <c r="M1" s="168"/>
      <c r="N1" s="168"/>
      <c r="O1" s="168"/>
      <c r="P1" s="168"/>
      <c r="Q1" s="168"/>
    </row>
    <row r="2" spans="1:27" s="195" customFormat="1" ht="10.5" customHeight="1">
      <c r="A2" s="191"/>
      <c r="B2" s="192"/>
      <c r="C2" s="192"/>
      <c r="D2" s="192"/>
      <c r="E2" s="192"/>
      <c r="F2" s="192"/>
      <c r="G2" s="192"/>
      <c r="H2" s="193"/>
      <c r="I2" s="194"/>
      <c r="J2" s="192"/>
      <c r="K2" s="171"/>
      <c r="L2" s="171"/>
      <c r="M2" s="171"/>
      <c r="N2" s="171"/>
      <c r="O2" s="171"/>
      <c r="P2" s="171"/>
      <c r="Q2" s="171"/>
      <c r="R2" s="172"/>
      <c r="S2" s="172"/>
      <c r="T2" s="172"/>
      <c r="U2" s="172"/>
      <c r="V2" s="172"/>
      <c r="W2" s="172"/>
      <c r="X2" s="173"/>
      <c r="Y2" s="173"/>
      <c r="Z2" s="173"/>
      <c r="AA2" s="172"/>
    </row>
    <row r="3" spans="1:27" s="195" customFormat="1" ht="3" customHeight="1">
      <c r="A3" s="196"/>
      <c r="B3" s="197"/>
      <c r="C3" s="197"/>
      <c r="D3" s="197"/>
      <c r="E3" s="197"/>
      <c r="F3" s="197"/>
      <c r="G3" s="197"/>
      <c r="H3" s="198"/>
      <c r="I3" s="199"/>
      <c r="J3" s="197"/>
      <c r="K3" s="171"/>
      <c r="L3" s="171"/>
      <c r="M3" s="171"/>
      <c r="N3" s="171"/>
      <c r="O3" s="171"/>
      <c r="P3" s="171"/>
      <c r="Q3" s="171"/>
      <c r="R3" s="172"/>
      <c r="S3" s="172"/>
      <c r="T3" s="172"/>
      <c r="U3" s="172"/>
      <c r="V3" s="172"/>
      <c r="W3" s="172"/>
      <c r="X3" s="173"/>
      <c r="Y3" s="173"/>
      <c r="Z3" s="173"/>
      <c r="AA3" s="172"/>
    </row>
    <row r="4" spans="8:17" ht="8.25" customHeight="1">
      <c r="H4" s="38"/>
      <c r="K4" s="174"/>
      <c r="L4" s="174"/>
      <c r="M4" s="174"/>
      <c r="N4" s="174"/>
      <c r="O4" s="174"/>
      <c r="P4" s="174"/>
      <c r="Q4" s="174"/>
    </row>
    <row r="5" spans="1:29" ht="20.25" customHeight="1">
      <c r="A5" s="175" t="s">
        <v>74</v>
      </c>
      <c r="B5" s="702">
        <f>'Week 1'!D5</f>
        <v>0</v>
      </c>
      <c r="C5" s="702"/>
      <c r="D5" s="702"/>
      <c r="E5" s="702"/>
      <c r="F5" s="702"/>
      <c r="G5" s="702"/>
      <c r="H5" s="176" t="s">
        <v>75</v>
      </c>
      <c r="I5" s="200">
        <f>'Week 1'!G8</f>
        <v>0</v>
      </c>
      <c r="J5" s="13"/>
      <c r="K5" s="174"/>
      <c r="L5" s="174"/>
      <c r="M5" s="174"/>
      <c r="N5" s="174"/>
      <c r="O5" s="174"/>
      <c r="P5" s="174"/>
      <c r="Q5" s="174"/>
      <c r="AC5" s="201"/>
    </row>
    <row r="6" spans="1:17" ht="10.5" customHeight="1">
      <c r="A6" s="168"/>
      <c r="B6" s="168"/>
      <c r="C6" s="168"/>
      <c r="D6" s="168"/>
      <c r="E6" s="168"/>
      <c r="F6" s="168"/>
      <c r="G6" s="168"/>
      <c r="H6" s="168"/>
      <c r="I6" s="177" t="s">
        <v>5</v>
      </c>
      <c r="J6" s="177" t="s">
        <v>76</v>
      </c>
      <c r="K6" s="174"/>
      <c r="L6" s="174"/>
      <c r="M6" s="174"/>
      <c r="N6" s="174"/>
      <c r="O6" s="174"/>
      <c r="P6" s="174"/>
      <c r="Q6" s="174"/>
    </row>
    <row r="7" spans="1:17" ht="20.25" customHeight="1">
      <c r="A7" s="176" t="s">
        <v>77</v>
      </c>
      <c r="B7" s="703">
        <f>'Week 1'!M8</f>
        <v>0</v>
      </c>
      <c r="C7" s="703"/>
      <c r="D7" s="703"/>
      <c r="E7" s="703"/>
      <c r="F7" s="703"/>
      <c r="G7" s="167"/>
      <c r="H7" s="176" t="s">
        <v>78</v>
      </c>
      <c r="I7" s="200">
        <f>'Week 1'!G9</f>
        <v>0</v>
      </c>
      <c r="J7" s="14"/>
      <c r="K7" s="174"/>
      <c r="L7" s="174"/>
      <c r="M7" s="174"/>
      <c r="N7" s="174"/>
      <c r="O7" s="229">
        <f>+I7-I5</f>
        <v>0</v>
      </c>
      <c r="P7" s="174" t="s">
        <v>79</v>
      </c>
      <c r="Q7" s="174"/>
    </row>
    <row r="8" spans="1:17" ht="12.75">
      <c r="A8" s="168"/>
      <c r="B8" s="168"/>
      <c r="C8" s="168"/>
      <c r="D8" s="168"/>
      <c r="E8" s="168"/>
      <c r="F8" s="168"/>
      <c r="G8" s="168"/>
      <c r="H8" s="178"/>
      <c r="I8" s="177" t="s">
        <v>5</v>
      </c>
      <c r="J8" s="177" t="s">
        <v>76</v>
      </c>
      <c r="K8" s="174"/>
      <c r="L8" s="174"/>
      <c r="M8" s="174"/>
      <c r="N8" s="174"/>
      <c r="O8" s="174"/>
      <c r="P8" s="174"/>
      <c r="Q8" s="174"/>
    </row>
    <row r="9" spans="1:17" ht="18.75" customHeight="1">
      <c r="A9" s="179"/>
      <c r="B9" s="704"/>
      <c r="C9" s="704"/>
      <c r="D9" s="704"/>
      <c r="E9" s="704"/>
      <c r="F9" s="704"/>
      <c r="G9" s="167"/>
      <c r="H9" s="180" t="s">
        <v>80</v>
      </c>
      <c r="I9" s="181"/>
      <c r="J9" s="15"/>
      <c r="K9" s="174"/>
      <c r="L9" s="174"/>
      <c r="M9" s="174"/>
      <c r="N9" s="174"/>
      <c r="O9" s="169" t="e">
        <f>'Week 1'!#REF!</f>
        <v>#REF!</v>
      </c>
      <c r="P9" s="17" t="e">
        <f>VLOOKUP(O9,'per diem tables'!A3:B9,2)</f>
        <v>#REF!</v>
      </c>
      <c r="Q9" s="174"/>
    </row>
    <row r="10" spans="1:17" ht="13.5" customHeight="1">
      <c r="A10" s="203"/>
      <c r="B10" s="204"/>
      <c r="C10" s="204"/>
      <c r="D10" s="204"/>
      <c r="E10" s="204"/>
      <c r="F10" s="204"/>
      <c r="G10" s="204"/>
      <c r="H10" s="205"/>
      <c r="I10" s="190"/>
      <c r="J10" s="202"/>
      <c r="K10" s="174"/>
      <c r="L10" s="174"/>
      <c r="M10" s="174"/>
      <c r="N10" s="174"/>
      <c r="P10" s="17"/>
      <c r="Q10" s="174"/>
    </row>
    <row r="11" spans="1:27" s="206" customFormat="1" ht="42" customHeight="1">
      <c r="A11" s="694" t="s">
        <v>81</v>
      </c>
      <c r="B11" s="695"/>
      <c r="C11" s="695"/>
      <c r="D11" s="695"/>
      <c r="E11" s="695"/>
      <c r="F11" s="695"/>
      <c r="G11" s="695"/>
      <c r="H11" s="695"/>
      <c r="I11" s="695"/>
      <c r="J11" s="695"/>
      <c r="K11" s="182"/>
      <c r="L11" s="174"/>
      <c r="M11" s="174"/>
      <c r="N11" s="174"/>
      <c r="O11" s="183"/>
      <c r="P11" s="17"/>
      <c r="Q11" s="174"/>
      <c r="R11" s="183"/>
      <c r="S11" s="183"/>
      <c r="T11" s="183"/>
      <c r="U11" s="183"/>
      <c r="V11" s="183"/>
      <c r="W11" s="183"/>
      <c r="X11" s="184"/>
      <c r="Y11" s="184"/>
      <c r="Z11" s="184"/>
      <c r="AA11" s="183"/>
    </row>
    <row r="12" spans="1:27" s="206" customFormat="1" ht="12.75">
      <c r="A12" s="692" t="s">
        <v>82</v>
      </c>
      <c r="B12" s="693"/>
      <c r="C12" s="693"/>
      <c r="D12" s="693"/>
      <c r="E12" s="693"/>
      <c r="F12" s="693"/>
      <c r="G12" s="693"/>
      <c r="H12" s="693"/>
      <c r="I12" s="693"/>
      <c r="J12" s="693"/>
      <c r="K12" s="185"/>
      <c r="L12" s="185"/>
      <c r="M12" s="185"/>
      <c r="N12" s="183"/>
      <c r="O12" s="183"/>
      <c r="P12" s="183"/>
      <c r="Q12" s="183"/>
      <c r="R12" s="183"/>
      <c r="S12" s="183"/>
      <c r="T12" s="183"/>
      <c r="U12" s="183"/>
      <c r="V12" s="183"/>
      <c r="W12" s="183"/>
      <c r="X12" s="184"/>
      <c r="Y12" s="184"/>
      <c r="Z12" s="184"/>
      <c r="AA12" s="183"/>
    </row>
    <row r="13" spans="1:27" s="207" customFormat="1" ht="102" customHeight="1">
      <c r="A13" s="694" t="s">
        <v>127</v>
      </c>
      <c r="B13" s="695"/>
      <c r="C13" s="695"/>
      <c r="D13" s="695"/>
      <c r="E13" s="695"/>
      <c r="F13" s="695"/>
      <c r="G13" s="695"/>
      <c r="H13" s="695"/>
      <c r="I13" s="695"/>
      <c r="J13" s="695"/>
      <c r="K13" s="174"/>
      <c r="L13" s="174"/>
      <c r="M13" s="174"/>
      <c r="N13" s="174"/>
      <c r="O13" s="174"/>
      <c r="P13" s="174"/>
      <c r="Q13" s="174"/>
      <c r="R13" s="185"/>
      <c r="S13" s="185"/>
      <c r="T13" s="185"/>
      <c r="U13" s="185"/>
      <c r="V13" s="185"/>
      <c r="W13" s="185"/>
      <c r="X13" s="186"/>
      <c r="Y13" s="186"/>
      <c r="Z13" s="186"/>
      <c r="AA13" s="185"/>
    </row>
    <row r="14" spans="1:8" ht="13.5" customHeight="1">
      <c r="A14" s="18"/>
      <c r="B14" s="18"/>
      <c r="C14" s="18"/>
      <c r="E14" s="19" t="s">
        <v>83</v>
      </c>
      <c r="F14" s="18"/>
      <c r="G14" s="20"/>
      <c r="H14" s="20"/>
    </row>
    <row r="15" spans="1:8" ht="13.5" customHeight="1">
      <c r="A15" s="21"/>
      <c r="B15" s="21"/>
      <c r="C15" s="21"/>
      <c r="D15" s="22" t="s">
        <v>84</v>
      </c>
      <c r="E15" s="23" t="e">
        <f>+E103</f>
        <v>#REF!</v>
      </c>
      <c r="F15" s="21"/>
      <c r="G15" s="21"/>
      <c r="H15" s="21"/>
    </row>
    <row r="16" spans="1:8" ht="13.5" customHeight="1">
      <c r="A16" s="21"/>
      <c r="B16" s="21"/>
      <c r="C16" s="21"/>
      <c r="D16" s="24"/>
      <c r="E16" s="25"/>
      <c r="F16" s="21"/>
      <c r="G16" s="21"/>
      <c r="H16" s="227"/>
    </row>
    <row r="17" spans="1:11" ht="13.5" customHeight="1">
      <c r="A17" s="696" t="s">
        <v>85</v>
      </c>
      <c r="B17" s="697"/>
      <c r="C17" s="697"/>
      <c r="D17" s="697"/>
      <c r="E17" s="698"/>
      <c r="F17" s="26"/>
      <c r="G17" s="26"/>
      <c r="H17" s="26"/>
      <c r="I17" s="26"/>
      <c r="J17" s="26"/>
      <c r="K17" s="187"/>
    </row>
    <row r="18" spans="1:20" ht="13.5" customHeight="1">
      <c r="A18" s="27" t="s">
        <v>5</v>
      </c>
      <c r="B18" s="59" t="s">
        <v>86</v>
      </c>
      <c r="C18" s="28" t="s">
        <v>87</v>
      </c>
      <c r="D18" s="28" t="s">
        <v>88</v>
      </c>
      <c r="E18" s="29" t="s">
        <v>83</v>
      </c>
      <c r="F18" s="30"/>
      <c r="G18" s="30"/>
      <c r="H18" s="30"/>
      <c r="I18" s="30"/>
      <c r="J18" s="31"/>
      <c r="K18" s="230"/>
      <c r="L18" s="231" t="s">
        <v>89</v>
      </c>
      <c r="M18" s="232" t="s">
        <v>90</v>
      </c>
      <c r="N18" s="232" t="s">
        <v>91</v>
      </c>
      <c r="O18" s="232" t="s">
        <v>86</v>
      </c>
      <c r="P18" s="233" t="s">
        <v>87</v>
      </c>
      <c r="Q18" s="233" t="s">
        <v>92</v>
      </c>
      <c r="R18" s="232" t="s">
        <v>86</v>
      </c>
      <c r="S18" s="233" t="s">
        <v>87</v>
      </c>
      <c r="T18" s="169" t="s">
        <v>88</v>
      </c>
    </row>
    <row r="19" spans="1:26" ht="15" customHeight="1">
      <c r="A19" s="32">
        <f>I5</f>
        <v>0</v>
      </c>
      <c r="B19" s="228" t="e">
        <f>'Week 1'!#REF!</f>
        <v>#REF!</v>
      </c>
      <c r="C19" s="228" t="e">
        <f>'Week 1'!#REF!</f>
        <v>#REF!</v>
      </c>
      <c r="D19" s="228" t="e">
        <f>'Week 1'!#REF!</f>
        <v>#REF!</v>
      </c>
      <c r="E19" s="33" t="e">
        <f>IF(+I5="",0,+V19)</f>
        <v>#REF!</v>
      </c>
      <c r="F19" s="208"/>
      <c r="G19" s="208"/>
      <c r="H19" s="208"/>
      <c r="I19" s="208"/>
      <c r="J19" s="34"/>
      <c r="K19" s="231" t="str">
        <f aca="true" t="shared" si="0" ref="K19:K45">IF(A19="","NO","YES")</f>
        <v>YES</v>
      </c>
      <c r="L19" s="234">
        <v>0</v>
      </c>
      <c r="N19" s="235">
        <v>0.75</v>
      </c>
      <c r="O19" s="236" t="e">
        <f>IF(B19="X","TRUE","FALSE")</f>
        <v>#REF!</v>
      </c>
      <c r="P19" s="236" t="e">
        <f>IF(C19="X","TRUE","FALSE")</f>
        <v>#REF!</v>
      </c>
      <c r="Q19" s="236" t="e">
        <f>IF(D19="X","TRUE","FALSE")</f>
        <v>#REF!</v>
      </c>
      <c r="R19" s="237" t="e">
        <f aca="true" t="shared" si="1" ref="R19:R82">IF(O19="TRUE",-VLOOKUP($P$9,Per_diem_table,2),0)</f>
        <v>#REF!</v>
      </c>
      <c r="S19" s="237" t="e">
        <f aca="true" t="shared" si="2" ref="S19:S82">IF(P19="TRUE",-VLOOKUP($P$9,Per_diem_table,3),0)</f>
        <v>#REF!</v>
      </c>
      <c r="T19" s="237" t="e">
        <f aca="true" t="shared" si="3" ref="T19:T82">IF(Q19="TRUE",-VLOOKUP($P$9,Per_diem_table,4),0)</f>
        <v>#REF!</v>
      </c>
      <c r="U19" s="238" t="e">
        <f>(VLOOKUP($P$9,Per_diem_table,1)*N19)-SUM((X19,Y19,Z19))</f>
        <v>#REF!</v>
      </c>
      <c r="V19" s="237" t="e">
        <f>IF(U19&lt;5,5,U19)</f>
        <v>#REF!</v>
      </c>
      <c r="X19" s="170" t="e">
        <f>IF(AND(N19=0.75,($O19="TRUE")),ABS('Per Diem Calc Tool'!$R19*0.75),IF($O19="TRUE",ABS('Per Diem Calc Tool'!$R19),""))</f>
        <v>#REF!</v>
      </c>
      <c r="Y19" s="170" t="e">
        <f>IF(AND(N19=0.75,($P19="TRUE")),ABS('Per Diem Calc Tool'!$S19*0.75),IF($P19="TRUE",ABS('Per Diem Calc Tool'!$S19),""))</f>
        <v>#REF!</v>
      </c>
      <c r="Z19" s="170" t="e">
        <f>IF(AND(N19=0.75,($Q19="TRUE")),ABS('Per Diem Calc Tool'!$T19*0.75),IF($Q19="TRUE",ABS('Per Diem Calc Tool'!$T19),""))</f>
        <v>#REF!</v>
      </c>
    </row>
    <row r="20" spans="1:26" ht="15" customHeight="1">
      <c r="A20" s="32">
        <f>IF(M22=TRUE,A19+1,"")</f>
      </c>
      <c r="B20" s="228" t="e">
        <f>'Week 1'!#REF!</f>
        <v>#REF!</v>
      </c>
      <c r="C20" s="228" t="e">
        <f>'Week 1'!#REF!</f>
        <v>#REF!</v>
      </c>
      <c r="D20" s="228" t="e">
        <f>'Week 1'!#REF!</f>
        <v>#REF!</v>
      </c>
      <c r="E20" s="33">
        <f>IF(M22=FALSE,0,+V22)</f>
        <v>0</v>
      </c>
      <c r="F20" s="208"/>
      <c r="G20" s="208"/>
      <c r="H20" s="208"/>
      <c r="I20" s="208"/>
      <c r="J20" s="35"/>
      <c r="K20" s="231" t="str">
        <f t="shared" si="0"/>
        <v>NO</v>
      </c>
      <c r="L20" s="234"/>
      <c r="N20" s="235"/>
      <c r="O20" s="236"/>
      <c r="P20" s="236"/>
      <c r="Q20" s="236"/>
      <c r="R20" s="237">
        <f t="shared" si="1"/>
        <v>0</v>
      </c>
      <c r="S20" s="237">
        <f t="shared" si="2"/>
        <v>0</v>
      </c>
      <c r="T20" s="237">
        <f t="shared" si="3"/>
        <v>0</v>
      </c>
      <c r="U20" s="238" t="e">
        <f>(VLOOKUP($P$9,Per_diem_table,1)*N20)-SUM((X20,Y20,Z20))</f>
        <v>#REF!</v>
      </c>
      <c r="V20" s="237"/>
      <c r="X20" s="170">
        <f>IF(AND(N20=0.75,($O20="TRUE")),ABS('Per Diem Calc Tool'!$R20*0.75),IF($O20="TRUE",ABS('Per Diem Calc Tool'!$R20),""))</f>
      </c>
      <c r="Y20" s="170">
        <f>IF(AND(N20=0.75,($P20="TRUE")),ABS('Per Diem Calc Tool'!$S20*0.75),IF($P20="TRUE",ABS('Per Diem Calc Tool'!$S20),""))</f>
      </c>
      <c r="Z20" s="170">
        <f>IF(AND(N20=0.75,($Q20="TRUE")),ABS('Per Diem Calc Tool'!$T20*0.75),IF($Q20="TRUE",ABS('Per Diem Calc Tool'!$T20),""))</f>
      </c>
    </row>
    <row r="21" spans="1:26" ht="15" customHeight="1">
      <c r="A21" s="32">
        <f>IF(M25=TRUE,A20+1,"")</f>
      </c>
      <c r="B21" s="228" t="e">
        <f>'Week 1'!#REF!</f>
        <v>#REF!</v>
      </c>
      <c r="C21" s="228" t="e">
        <f>'Week 1'!#REF!</f>
        <v>#REF!</v>
      </c>
      <c r="D21" s="228" t="e">
        <f>'Week 1'!#REF!</f>
        <v>#REF!</v>
      </c>
      <c r="E21" s="33">
        <f>IF(M25=FALSE,0,+V25)</f>
        <v>0</v>
      </c>
      <c r="F21" s="208"/>
      <c r="G21" s="208"/>
      <c r="H21" s="208"/>
      <c r="I21" s="208"/>
      <c r="J21" s="35"/>
      <c r="K21" s="231" t="str">
        <f t="shared" si="0"/>
        <v>NO</v>
      </c>
      <c r="L21" s="234"/>
      <c r="N21" s="235"/>
      <c r="O21" s="236"/>
      <c r="P21" s="236"/>
      <c r="Q21" s="236"/>
      <c r="R21" s="237">
        <f t="shared" si="1"/>
        <v>0</v>
      </c>
      <c r="S21" s="237">
        <f t="shared" si="2"/>
        <v>0</v>
      </c>
      <c r="T21" s="237">
        <f t="shared" si="3"/>
        <v>0</v>
      </c>
      <c r="U21" s="238" t="e">
        <f>(VLOOKUP($P$9,Per_diem_table,1)*N21)-SUM((X21,Y21,Z21))</f>
        <v>#REF!</v>
      </c>
      <c r="V21" s="237"/>
      <c r="X21" s="170">
        <f>IF(AND(N21=0.75,($O21="TRUE")),ABS('Per Diem Calc Tool'!$R21*0.75),IF($O21="TRUE",ABS('Per Diem Calc Tool'!$R21),""))</f>
      </c>
      <c r="Y21" s="170">
        <f>IF(AND(N21=0.75,($P21="TRUE")),ABS('Per Diem Calc Tool'!$S21*0.75),IF($P21="TRUE",ABS('Per Diem Calc Tool'!$S21),""))</f>
      </c>
      <c r="Z21" s="170">
        <f>IF(AND(N21=0.75,($Q21="TRUE")),ABS('Per Diem Calc Tool'!$T21*0.75),IF($Q21="TRUE",ABS('Per Diem Calc Tool'!$T21),""))</f>
      </c>
    </row>
    <row r="22" spans="1:26" ht="15" customHeight="1">
      <c r="A22" s="32">
        <f>IF(M28=TRUE,A21+1,"")</f>
      </c>
      <c r="B22" s="228" t="e">
        <f>'Week 1'!#REF!</f>
        <v>#REF!</v>
      </c>
      <c r="C22" s="228" t="e">
        <f>'Week 1'!#REF!</f>
        <v>#REF!</v>
      </c>
      <c r="D22" s="228" t="e">
        <f>'Week 1'!#REF!</f>
        <v>#REF!</v>
      </c>
      <c r="E22" s="33">
        <f>IF(M28=FALSE,0,+V28)</f>
        <v>0</v>
      </c>
      <c r="F22" s="208"/>
      <c r="G22" s="208"/>
      <c r="H22" s="208"/>
      <c r="I22" s="208"/>
      <c r="J22" s="34"/>
      <c r="K22" s="231" t="str">
        <f t="shared" si="0"/>
        <v>NO</v>
      </c>
      <c r="L22" s="239">
        <v>1</v>
      </c>
      <c r="M22" s="169" t="b">
        <f>+L22&lt;=O7</f>
        <v>0</v>
      </c>
      <c r="N22" s="235">
        <f>IF(L22=O7,0.75,1)</f>
        <v>1</v>
      </c>
      <c r="O22" s="236" t="e">
        <f>IF(B20="X","TRUE","FALSE")</f>
        <v>#REF!</v>
      </c>
      <c r="P22" s="236" t="e">
        <f>IF(C20="X","TRUE","FALSE")</f>
        <v>#REF!</v>
      </c>
      <c r="Q22" s="236" t="e">
        <f>IF(D20="X","TRUE","FALSE")</f>
        <v>#REF!</v>
      </c>
      <c r="R22" s="237" t="e">
        <f t="shared" si="1"/>
        <v>#REF!</v>
      </c>
      <c r="S22" s="237" t="e">
        <f t="shared" si="2"/>
        <v>#REF!</v>
      </c>
      <c r="T22" s="237" t="e">
        <f t="shared" si="3"/>
        <v>#REF!</v>
      </c>
      <c r="U22" s="238" t="e">
        <f>(VLOOKUP($P$9,Per_diem_table,1)*N22)-SUM((X22,Y22,Z22))</f>
        <v>#REF!</v>
      </c>
      <c r="V22" s="237" t="e">
        <f>IF(U22&lt;5,5,U22)</f>
        <v>#REF!</v>
      </c>
      <c r="X22" s="170" t="e">
        <f>IF(AND(N22=0.75,($O22="TRUE")),ABS('Per Diem Calc Tool'!$R22*0.75),IF($O22="TRUE",ABS('Per Diem Calc Tool'!$R22),""))</f>
        <v>#REF!</v>
      </c>
      <c r="Y22" s="170" t="e">
        <f>IF(AND(N22=0.75,($P22="TRUE")),ABS('Per Diem Calc Tool'!$S22*0.75),IF($P22="TRUE",ABS('Per Diem Calc Tool'!$S22),""))</f>
        <v>#REF!</v>
      </c>
      <c r="Z22" s="170" t="e">
        <f>IF(AND(N22=0.75,($Q22="TRUE")),ABS('Per Diem Calc Tool'!$T22*0.75),IF($Q22="TRUE",ABS('Per Diem Calc Tool'!$T22),""))</f>
        <v>#REF!</v>
      </c>
    </row>
    <row r="23" spans="1:26" ht="15" customHeight="1">
      <c r="A23" s="32">
        <f>IF(M31=TRUE,A22+1,"")</f>
      </c>
      <c r="B23" s="228" t="e">
        <f>'Week 1'!#REF!</f>
        <v>#REF!</v>
      </c>
      <c r="C23" s="228" t="e">
        <f>'Week 1'!#REF!</f>
        <v>#REF!</v>
      </c>
      <c r="D23" s="228" t="e">
        <f>'Week 1'!#REF!</f>
        <v>#REF!</v>
      </c>
      <c r="E23" s="33">
        <f>IF(M31=FALSE,0,+V31)</f>
        <v>0</v>
      </c>
      <c r="F23" s="208"/>
      <c r="G23" s="208"/>
      <c r="H23" s="208"/>
      <c r="I23" s="208"/>
      <c r="J23" s="35"/>
      <c r="K23" s="231" t="str">
        <f t="shared" si="0"/>
        <v>NO</v>
      </c>
      <c r="L23" s="239"/>
      <c r="N23" s="235"/>
      <c r="O23" s="236"/>
      <c r="P23" s="236"/>
      <c r="Q23" s="236"/>
      <c r="R23" s="237">
        <f t="shared" si="1"/>
        <v>0</v>
      </c>
      <c r="S23" s="237">
        <f t="shared" si="2"/>
        <v>0</v>
      </c>
      <c r="T23" s="237">
        <f t="shared" si="3"/>
        <v>0</v>
      </c>
      <c r="U23" s="238" t="e">
        <f>(VLOOKUP($P$9,Per_diem_table,1)*N23)-SUM((X23,Y23,Z23))</f>
        <v>#REF!</v>
      </c>
      <c r="V23" s="237"/>
      <c r="X23" s="170">
        <f>IF(AND(N23=0.75,($O23="TRUE")),ABS('Per Diem Calc Tool'!$R23*0.75),IF($O23="TRUE",ABS('Per Diem Calc Tool'!$R23),""))</f>
      </c>
      <c r="Y23" s="170">
        <f>IF(AND(N23=0.75,($P23="TRUE")),ABS('Per Diem Calc Tool'!$S23*0.75),IF($P23="TRUE",ABS('Per Diem Calc Tool'!$S23),""))</f>
      </c>
      <c r="Z23" s="170">
        <f>IF(AND(N23=0.75,($Q23="TRUE")),ABS('Per Diem Calc Tool'!$T23*0.75),IF($Q23="TRUE",ABS('Per Diem Calc Tool'!$T23),""))</f>
      </c>
    </row>
    <row r="24" spans="1:26" ht="15" customHeight="1">
      <c r="A24" s="32">
        <f>IF(M34=TRUE,A23+1,"")</f>
      </c>
      <c r="B24" s="228" t="e">
        <f>'Week 1'!#REF!</f>
        <v>#REF!</v>
      </c>
      <c r="C24" s="228" t="e">
        <f>'Week 1'!#REF!</f>
        <v>#REF!</v>
      </c>
      <c r="D24" s="228" t="e">
        <f>'Week 1'!#REF!</f>
        <v>#REF!</v>
      </c>
      <c r="E24" s="33">
        <f>IF(M34=FALSE,0,+V34)</f>
        <v>0</v>
      </c>
      <c r="F24" s="208"/>
      <c r="G24" s="208"/>
      <c r="H24" s="208"/>
      <c r="I24" s="208"/>
      <c r="J24" s="36"/>
      <c r="K24" s="231" t="str">
        <f t="shared" si="0"/>
        <v>NO</v>
      </c>
      <c r="L24" s="239"/>
      <c r="N24" s="235"/>
      <c r="O24" s="236"/>
      <c r="P24" s="236"/>
      <c r="Q24" s="236"/>
      <c r="R24" s="237">
        <f t="shared" si="1"/>
        <v>0</v>
      </c>
      <c r="S24" s="237">
        <f t="shared" si="2"/>
        <v>0</v>
      </c>
      <c r="T24" s="237">
        <f t="shared" si="3"/>
        <v>0</v>
      </c>
      <c r="U24" s="238" t="e">
        <f>(VLOOKUP($P$9,Per_diem_table,1)*N24)-SUM((X24,Y24,Z24))</f>
        <v>#REF!</v>
      </c>
      <c r="V24" s="237"/>
      <c r="X24" s="170">
        <f>IF(AND(N24=0.75,($O24="TRUE")),ABS('Per Diem Calc Tool'!$R24*0.75),IF($O24="TRUE",ABS('Per Diem Calc Tool'!$R24),""))</f>
      </c>
      <c r="Y24" s="170">
        <f>IF(AND(N24=0.75,($P24="TRUE")),ABS('Per Diem Calc Tool'!$S24*0.75),IF($P24="TRUE",ABS('Per Diem Calc Tool'!$S24),""))</f>
      </c>
      <c r="Z24" s="170">
        <f>IF(AND(N24=0.75,($Q24="TRUE")),ABS('Per Diem Calc Tool'!$T24*0.75),IF($Q24="TRUE",ABS('Per Diem Calc Tool'!$T24),""))</f>
      </c>
    </row>
    <row r="25" spans="1:26" ht="15" customHeight="1">
      <c r="A25" s="32">
        <f>IF(M37=TRUE,A24+1,"")</f>
      </c>
      <c r="B25" s="228" t="e">
        <f>'Week 1'!#REF!</f>
        <v>#REF!</v>
      </c>
      <c r="C25" s="228" t="e">
        <f>'Week 1'!#REF!</f>
        <v>#REF!</v>
      </c>
      <c r="D25" s="228" t="e">
        <f>'Week 1'!#REF!</f>
        <v>#REF!</v>
      </c>
      <c r="E25" s="33">
        <f>IF(M37=FALSE,0,+V37)</f>
        <v>0</v>
      </c>
      <c r="F25" s="208"/>
      <c r="G25" s="208"/>
      <c r="H25" s="208"/>
      <c r="I25" s="208"/>
      <c r="J25" s="36"/>
      <c r="K25" s="231" t="str">
        <f t="shared" si="0"/>
        <v>NO</v>
      </c>
      <c r="L25" s="239">
        <v>2</v>
      </c>
      <c r="M25" s="169" t="b">
        <f>+L25&lt;=O7</f>
        <v>0</v>
      </c>
      <c r="N25" s="235">
        <f>IF(L25=O7,0.75,1)</f>
        <v>1</v>
      </c>
      <c r="O25" s="236" t="e">
        <f>IF(B21="X","TRUE","FALSE")</f>
        <v>#REF!</v>
      </c>
      <c r="P25" s="236" t="e">
        <f>IF(C21="X","TRUE","FALSE")</f>
        <v>#REF!</v>
      </c>
      <c r="Q25" s="236" t="e">
        <f>IF(D21="X","TRUE","FALSE")</f>
        <v>#REF!</v>
      </c>
      <c r="R25" s="237" t="e">
        <f t="shared" si="1"/>
        <v>#REF!</v>
      </c>
      <c r="S25" s="237" t="e">
        <f t="shared" si="2"/>
        <v>#REF!</v>
      </c>
      <c r="T25" s="237" t="e">
        <f t="shared" si="3"/>
        <v>#REF!</v>
      </c>
      <c r="U25" s="238" t="e">
        <f>(VLOOKUP($P$9,Per_diem_table,1)*N25)-SUM((X25,Y25,Z25))</f>
        <v>#REF!</v>
      </c>
      <c r="V25" s="237" t="e">
        <f>IF(U25&lt;5,5,U25)</f>
        <v>#REF!</v>
      </c>
      <c r="X25" s="170" t="e">
        <f>IF(AND(N25=0.75,($O25="TRUE")),ABS('Per Diem Calc Tool'!$R25*0.75),IF($O25="TRUE",ABS('Per Diem Calc Tool'!$R25),""))</f>
        <v>#REF!</v>
      </c>
      <c r="Y25" s="170" t="e">
        <f>IF(AND(N25=0.75,($P25="TRUE")),ABS('Per Diem Calc Tool'!$S25*0.75),IF($P25="TRUE",ABS('Per Diem Calc Tool'!$S25),""))</f>
        <v>#REF!</v>
      </c>
      <c r="Z25" s="170" t="e">
        <f>IF(AND(N25=0.75,($Q25="TRUE")),ABS('Per Diem Calc Tool'!$T25*0.75),IF($Q25="TRUE",ABS('Per Diem Calc Tool'!$T25),""))</f>
        <v>#REF!</v>
      </c>
    </row>
    <row r="26" spans="1:26" ht="15" customHeight="1">
      <c r="A26" s="32">
        <f>IF(M40=TRUE,A25+1,"")</f>
      </c>
      <c r="B26" s="228" t="e">
        <f>'Week 2'!#REF!</f>
        <v>#REF!</v>
      </c>
      <c r="C26" s="228" t="e">
        <f>'Week 2'!#REF!</f>
        <v>#REF!</v>
      </c>
      <c r="D26" s="228" t="e">
        <f>'Week 2'!#REF!</f>
        <v>#REF!</v>
      </c>
      <c r="E26" s="33">
        <f>IF(M40=FALSE,0,+V40)</f>
        <v>0</v>
      </c>
      <c r="F26" s="208"/>
      <c r="G26" s="208"/>
      <c r="H26" s="208"/>
      <c r="I26" s="208"/>
      <c r="J26" s="36"/>
      <c r="K26" s="231" t="str">
        <f t="shared" si="0"/>
        <v>NO</v>
      </c>
      <c r="L26" s="239"/>
      <c r="N26" s="235"/>
      <c r="O26" s="236"/>
      <c r="P26" s="236"/>
      <c r="Q26" s="236"/>
      <c r="R26" s="237">
        <f t="shared" si="1"/>
        <v>0</v>
      </c>
      <c r="S26" s="237">
        <f t="shared" si="2"/>
        <v>0</v>
      </c>
      <c r="T26" s="237">
        <f t="shared" si="3"/>
        <v>0</v>
      </c>
      <c r="U26" s="238" t="e">
        <f>(VLOOKUP($P$9,Per_diem_table,1)*N26)-SUM((X26,Y26,Z26))</f>
        <v>#REF!</v>
      </c>
      <c r="V26" s="237"/>
      <c r="X26" s="170">
        <f>IF(AND(N26=0.75,($O26="TRUE")),ABS('Per Diem Calc Tool'!$R26*0.75),IF($O26="TRUE",ABS('Per Diem Calc Tool'!$R26),""))</f>
      </c>
      <c r="Y26" s="170">
        <f>IF(AND(N26=0.75,($P26="TRUE")),ABS('Per Diem Calc Tool'!$S26*0.75),IF($P26="TRUE",ABS('Per Diem Calc Tool'!$S26),""))</f>
      </c>
      <c r="Z26" s="170">
        <f>IF(AND(N26=0.75,($Q26="TRUE")),ABS('Per Diem Calc Tool'!$T26*0.75),IF($Q26="TRUE",ABS('Per Diem Calc Tool'!$T26),""))</f>
      </c>
    </row>
    <row r="27" spans="1:26" ht="15" customHeight="1">
      <c r="A27" s="32">
        <f>IF(M43=TRUE,A26+1,"")</f>
      </c>
      <c r="B27" s="228" t="e">
        <f>'Week 2'!#REF!</f>
        <v>#REF!</v>
      </c>
      <c r="C27" s="228" t="e">
        <f>'Week 2'!#REF!</f>
        <v>#REF!</v>
      </c>
      <c r="D27" s="228" t="e">
        <f>'Week 2'!#REF!</f>
        <v>#REF!</v>
      </c>
      <c r="E27" s="33">
        <f>IF(M43=FALSE,0,+V43)</f>
        <v>0</v>
      </c>
      <c r="F27" s="208"/>
      <c r="G27" s="208"/>
      <c r="H27" s="208"/>
      <c r="I27" s="208"/>
      <c r="J27" s="37"/>
      <c r="K27" s="231" t="str">
        <f t="shared" si="0"/>
        <v>NO</v>
      </c>
      <c r="L27" s="239"/>
      <c r="N27" s="235"/>
      <c r="O27" s="236"/>
      <c r="P27" s="236"/>
      <c r="Q27" s="236"/>
      <c r="R27" s="237">
        <f t="shared" si="1"/>
        <v>0</v>
      </c>
      <c r="S27" s="237">
        <f t="shared" si="2"/>
        <v>0</v>
      </c>
      <c r="T27" s="237">
        <f t="shared" si="3"/>
        <v>0</v>
      </c>
      <c r="U27" s="238" t="e">
        <f>(VLOOKUP($P$9,Per_diem_table,1)*N27)-SUM((X27,Y27,Z27))</f>
        <v>#REF!</v>
      </c>
      <c r="V27" s="237"/>
      <c r="X27" s="170">
        <f>IF(AND(N27=0.75,($O27="TRUE")),ABS('Per Diem Calc Tool'!$R27*0.75),IF($O27="TRUE",ABS('Per Diem Calc Tool'!$R27),""))</f>
      </c>
      <c r="Y27" s="170">
        <f>IF(AND(N27=0.75,($P27="TRUE")),ABS('Per Diem Calc Tool'!$S27*0.75),IF($P27="TRUE",ABS('Per Diem Calc Tool'!$S27),""))</f>
      </c>
      <c r="Z27" s="170">
        <f>IF(AND(N27=0.75,($Q27="TRUE")),ABS('Per Diem Calc Tool'!$T27*0.75),IF($Q27="TRUE",ABS('Per Diem Calc Tool'!$T27),""))</f>
      </c>
    </row>
    <row r="28" spans="1:26" ht="15" customHeight="1">
      <c r="A28" s="32">
        <f>IF(M46=TRUE,A27+1,"")</f>
      </c>
      <c r="B28" s="228" t="e">
        <f>'Week 2'!#REF!</f>
        <v>#REF!</v>
      </c>
      <c r="C28" s="228" t="e">
        <f>'Week 2'!#REF!</f>
        <v>#REF!</v>
      </c>
      <c r="D28" s="228" t="e">
        <f>'Week 2'!#REF!</f>
        <v>#REF!</v>
      </c>
      <c r="E28" s="33">
        <f>IF(M46=FALSE,0,+V46)</f>
        <v>0</v>
      </c>
      <c r="F28" s="208"/>
      <c r="G28" s="208"/>
      <c r="H28" s="208"/>
      <c r="I28" s="208"/>
      <c r="J28" s="37"/>
      <c r="K28" s="231" t="str">
        <f t="shared" si="0"/>
        <v>NO</v>
      </c>
      <c r="L28" s="239">
        <v>3</v>
      </c>
      <c r="M28" s="169" t="b">
        <f>+L28&lt;=O7</f>
        <v>0</v>
      </c>
      <c r="N28" s="235">
        <f>IF(L28=O7,0.75,1)</f>
        <v>1</v>
      </c>
      <c r="O28" s="236" t="e">
        <f>IF(B22="X","TRUE","FALSE")</f>
        <v>#REF!</v>
      </c>
      <c r="P28" s="236" t="e">
        <f>IF(C22="X","TRUE","FALSE")</f>
        <v>#REF!</v>
      </c>
      <c r="Q28" s="236" t="e">
        <f>IF(D22="X","TRUE","FALSE")</f>
        <v>#REF!</v>
      </c>
      <c r="R28" s="237" t="e">
        <f t="shared" si="1"/>
        <v>#REF!</v>
      </c>
      <c r="S28" s="237" t="e">
        <f t="shared" si="2"/>
        <v>#REF!</v>
      </c>
      <c r="T28" s="237" t="e">
        <f t="shared" si="3"/>
        <v>#REF!</v>
      </c>
      <c r="U28" s="238" t="e">
        <f>(VLOOKUP($P$9,Per_diem_table,1)*N28)-SUM((X28,Y28,Z28))</f>
        <v>#REF!</v>
      </c>
      <c r="V28" s="237" t="e">
        <f>IF(U28&lt;5,5,U28)</f>
        <v>#REF!</v>
      </c>
      <c r="X28" s="170" t="e">
        <f>IF(AND(N28=0.75,($O28="TRUE")),ABS('Per Diem Calc Tool'!$R28*0.75),IF($O28="TRUE",ABS('Per Diem Calc Tool'!$R28),""))</f>
        <v>#REF!</v>
      </c>
      <c r="Y28" s="170" t="e">
        <f>IF(AND(N28=0.75,($P28="TRUE")),ABS('Per Diem Calc Tool'!$S28*0.75),IF($P28="TRUE",ABS('Per Diem Calc Tool'!$S28),""))</f>
        <v>#REF!</v>
      </c>
      <c r="Z28" s="170" t="e">
        <f>IF(AND(N28=0.75,($Q28="TRUE")),ABS('Per Diem Calc Tool'!$T28*0.75),IF($Q28="TRUE",ABS('Per Diem Calc Tool'!$T28),""))</f>
        <v>#REF!</v>
      </c>
    </row>
    <row r="29" spans="1:26" ht="15" customHeight="1">
      <c r="A29" s="32">
        <f>IF(M49=TRUE,A28+1,"")</f>
      </c>
      <c r="B29" s="228" t="e">
        <f>'Week 2'!#REF!</f>
        <v>#REF!</v>
      </c>
      <c r="C29" s="228" t="e">
        <f>'Week 2'!#REF!</f>
        <v>#REF!</v>
      </c>
      <c r="D29" s="228" t="e">
        <f>'Week 2'!#REF!</f>
        <v>#REF!</v>
      </c>
      <c r="E29" s="33">
        <f>IF(M49=FALSE,0,+V49)</f>
        <v>0</v>
      </c>
      <c r="F29" s="208"/>
      <c r="G29" s="208"/>
      <c r="H29" s="208"/>
      <c r="I29" s="208"/>
      <c r="J29" s="37"/>
      <c r="K29" s="231" t="str">
        <f t="shared" si="0"/>
        <v>NO</v>
      </c>
      <c r="L29" s="239"/>
      <c r="N29" s="235"/>
      <c r="O29" s="236"/>
      <c r="P29" s="236"/>
      <c r="Q29" s="236"/>
      <c r="R29" s="237">
        <f t="shared" si="1"/>
        <v>0</v>
      </c>
      <c r="S29" s="237">
        <f t="shared" si="2"/>
        <v>0</v>
      </c>
      <c r="T29" s="237">
        <f t="shared" si="3"/>
        <v>0</v>
      </c>
      <c r="U29" s="238" t="e">
        <f>(VLOOKUP($P$9,Per_diem_table,1)*N29)-SUM((X29,Y29,Z29))</f>
        <v>#REF!</v>
      </c>
      <c r="V29" s="237"/>
      <c r="X29" s="170">
        <f>IF(AND(N29=0.75,($O29="TRUE")),ABS('Per Diem Calc Tool'!$R29*0.75),IF($O29="TRUE",ABS('Per Diem Calc Tool'!$R29),""))</f>
      </c>
      <c r="Y29" s="170">
        <f>IF(AND(N29=0.75,($P29="TRUE")),ABS('Per Diem Calc Tool'!$S29*0.75),IF($P29="TRUE",ABS('Per Diem Calc Tool'!$S29),""))</f>
      </c>
      <c r="Z29" s="170">
        <f>IF(AND(N29=0.75,($Q29="TRUE")),ABS('Per Diem Calc Tool'!$T29*0.75),IF($Q29="TRUE",ABS('Per Diem Calc Tool'!$T29),""))</f>
      </c>
    </row>
    <row r="30" spans="1:26" ht="15" customHeight="1">
      <c r="A30" s="32">
        <f>IF(M52=TRUE,A29+1,"")</f>
      </c>
      <c r="B30" s="228" t="e">
        <f>'Week 2'!#REF!</f>
        <v>#REF!</v>
      </c>
      <c r="C30" s="228" t="e">
        <f>'Week 2'!#REF!</f>
        <v>#REF!</v>
      </c>
      <c r="D30" s="228" t="e">
        <f>'Week 2'!#REF!</f>
        <v>#REF!</v>
      </c>
      <c r="E30" s="33">
        <f>IF(M52=FALSE,0,+V52)</f>
        <v>0</v>
      </c>
      <c r="F30" s="208"/>
      <c r="G30" s="208"/>
      <c r="H30" s="208"/>
      <c r="I30" s="208"/>
      <c r="J30" s="37"/>
      <c r="K30" s="231" t="str">
        <f t="shared" si="0"/>
        <v>NO</v>
      </c>
      <c r="L30" s="239"/>
      <c r="N30" s="235"/>
      <c r="O30" s="236"/>
      <c r="P30" s="236"/>
      <c r="Q30" s="236"/>
      <c r="R30" s="237">
        <f t="shared" si="1"/>
        <v>0</v>
      </c>
      <c r="S30" s="237">
        <f t="shared" si="2"/>
        <v>0</v>
      </c>
      <c r="T30" s="237">
        <f t="shared" si="3"/>
        <v>0</v>
      </c>
      <c r="U30" s="238" t="e">
        <f>(VLOOKUP($P$9,Per_diem_table,1)*N30)-SUM((X30,Y30,Z30))</f>
        <v>#REF!</v>
      </c>
      <c r="V30" s="237"/>
      <c r="X30" s="170">
        <f>IF(AND(N30=0.75,($O30="TRUE")),ABS('Per Diem Calc Tool'!$R30*0.75),IF($O30="TRUE",ABS('Per Diem Calc Tool'!$R30),""))</f>
      </c>
      <c r="Y30" s="170">
        <f>IF(AND(N30=0.75,($P30="TRUE")),ABS('Per Diem Calc Tool'!$S30*0.75),IF($P30="TRUE",ABS('Per Diem Calc Tool'!$S30),""))</f>
      </c>
      <c r="Z30" s="170">
        <f>IF(AND(N30=0.75,($Q30="TRUE")),ABS('Per Diem Calc Tool'!$T30*0.75),IF($Q30="TRUE",ABS('Per Diem Calc Tool'!$T30),""))</f>
      </c>
    </row>
    <row r="31" spans="1:26" ht="15" customHeight="1">
      <c r="A31" s="32">
        <f>IF(M55=TRUE,A30+1,"")</f>
      </c>
      <c r="B31" s="228" t="e">
        <f>'Week 2'!#REF!</f>
        <v>#REF!</v>
      </c>
      <c r="C31" s="228" t="e">
        <f>'Week 2'!#REF!</f>
        <v>#REF!</v>
      </c>
      <c r="D31" s="228" t="e">
        <f>'Week 2'!#REF!</f>
        <v>#REF!</v>
      </c>
      <c r="E31" s="33">
        <f>IF(M55=FALSE,0,+V55)</f>
        <v>0</v>
      </c>
      <c r="F31" s="208"/>
      <c r="G31" s="208"/>
      <c r="H31" s="208"/>
      <c r="I31" s="208"/>
      <c r="J31" s="37"/>
      <c r="K31" s="231" t="str">
        <f t="shared" si="0"/>
        <v>NO</v>
      </c>
      <c r="L31" s="239">
        <v>4</v>
      </c>
      <c r="M31" s="169" t="b">
        <f>+L31&lt;=O7</f>
        <v>0</v>
      </c>
      <c r="N31" s="235">
        <f>IF(L31=O7,0.75,1)</f>
        <v>1</v>
      </c>
      <c r="O31" s="236" t="e">
        <f>IF(B23="X","TRUE","FALSE")</f>
        <v>#REF!</v>
      </c>
      <c r="P31" s="236" t="e">
        <f>IF(C23="X","TRUE","FALSE")</f>
        <v>#REF!</v>
      </c>
      <c r="Q31" s="236" t="e">
        <f>IF(D23="X","TRUE","FALSE")</f>
        <v>#REF!</v>
      </c>
      <c r="R31" s="237" t="e">
        <f t="shared" si="1"/>
        <v>#REF!</v>
      </c>
      <c r="S31" s="237" t="e">
        <f t="shared" si="2"/>
        <v>#REF!</v>
      </c>
      <c r="T31" s="237" t="e">
        <f t="shared" si="3"/>
        <v>#REF!</v>
      </c>
      <c r="U31" s="238" t="e">
        <f>(VLOOKUP($P$9,Per_diem_table,1)*N31)-SUM((X31,Y31,Z31))</f>
        <v>#REF!</v>
      </c>
      <c r="V31" s="237" t="e">
        <f>IF(U31&lt;5,5,U31)</f>
        <v>#REF!</v>
      </c>
      <c r="X31" s="170" t="e">
        <f>IF(AND(N31=0.75,($O31="TRUE")),ABS('Per Diem Calc Tool'!$R31*0.75),IF($O31="TRUE",ABS('Per Diem Calc Tool'!$R31),""))</f>
        <v>#REF!</v>
      </c>
      <c r="Y31" s="170" t="e">
        <f>IF(AND(N31=0.75,($P31="TRUE")),ABS('Per Diem Calc Tool'!$S31*0.75),IF($P31="TRUE",ABS('Per Diem Calc Tool'!$S31),""))</f>
        <v>#REF!</v>
      </c>
      <c r="Z31" s="170" t="e">
        <f>IF(AND(N31=0.75,($Q31="TRUE")),ABS('Per Diem Calc Tool'!$T31*0.75),IF($Q31="TRUE",ABS('Per Diem Calc Tool'!$T31),""))</f>
        <v>#REF!</v>
      </c>
    </row>
    <row r="32" spans="1:26" ht="15" customHeight="1">
      <c r="A32" s="32">
        <f>IF(M58=TRUE,A31+1,"")</f>
      </c>
      <c r="B32" s="228" t="e">
        <f>'Week 2'!#REF!</f>
        <v>#REF!</v>
      </c>
      <c r="C32" s="228" t="e">
        <f>'Week 2'!#REF!</f>
        <v>#REF!</v>
      </c>
      <c r="D32" s="228" t="e">
        <f>'Week 2'!#REF!</f>
        <v>#REF!</v>
      </c>
      <c r="E32" s="33">
        <f>IF(M58=FALSE,0,+V58)</f>
        <v>0</v>
      </c>
      <c r="F32" s="208"/>
      <c r="G32" s="208"/>
      <c r="H32" s="208"/>
      <c r="I32" s="208"/>
      <c r="J32" s="37"/>
      <c r="K32" s="231" t="str">
        <f t="shared" si="0"/>
        <v>NO</v>
      </c>
      <c r="L32" s="239"/>
      <c r="N32" s="235"/>
      <c r="O32" s="236"/>
      <c r="P32" s="236"/>
      <c r="Q32" s="236"/>
      <c r="R32" s="237">
        <f t="shared" si="1"/>
        <v>0</v>
      </c>
      <c r="S32" s="237">
        <f t="shared" si="2"/>
        <v>0</v>
      </c>
      <c r="T32" s="237">
        <f t="shared" si="3"/>
        <v>0</v>
      </c>
      <c r="U32" s="238" t="e">
        <f>(VLOOKUP($P$9,Per_diem_table,1)*N32)-SUM((X32,Y32,Z32))</f>
        <v>#REF!</v>
      </c>
      <c r="V32" s="237"/>
      <c r="X32" s="170">
        <f>IF(AND(N32=0.75,($O32="TRUE")),ABS('Per Diem Calc Tool'!$R32*0.75),IF($O32="TRUE",ABS('Per Diem Calc Tool'!$R32),""))</f>
      </c>
      <c r="Y32" s="170">
        <f>IF(AND(N32=0.75,($P32="TRUE")),ABS('Per Diem Calc Tool'!$S32*0.75),IF($P32="TRUE",ABS('Per Diem Calc Tool'!$S32),""))</f>
      </c>
      <c r="Z32" s="170">
        <f>IF(AND(N32=0.75,($Q32="TRUE")),ABS('Per Diem Calc Tool'!$T32*0.75),IF($Q32="TRUE",ABS('Per Diem Calc Tool'!$T32),""))</f>
      </c>
    </row>
    <row r="33" spans="1:26" ht="15" customHeight="1">
      <c r="A33" s="32">
        <f>IF(M61=TRUE,A32+1,"")</f>
      </c>
      <c r="B33" s="228" t="e">
        <f>#REF!</f>
        <v>#REF!</v>
      </c>
      <c r="C33" s="228" t="e">
        <f>#REF!</f>
        <v>#REF!</v>
      </c>
      <c r="D33" s="228" t="e">
        <f>#REF!</f>
        <v>#REF!</v>
      </c>
      <c r="E33" s="33">
        <f>IF(M61=FALSE,0,+V61)</f>
        <v>0</v>
      </c>
      <c r="F33" s="208"/>
      <c r="G33" s="208"/>
      <c r="H33" s="208"/>
      <c r="I33" s="208"/>
      <c r="J33" s="37"/>
      <c r="K33" s="231" t="str">
        <f t="shared" si="0"/>
        <v>NO</v>
      </c>
      <c r="L33" s="239"/>
      <c r="N33" s="235"/>
      <c r="O33" s="236"/>
      <c r="P33" s="236"/>
      <c r="Q33" s="236"/>
      <c r="R33" s="237">
        <f t="shared" si="1"/>
        <v>0</v>
      </c>
      <c r="S33" s="237">
        <f t="shared" si="2"/>
        <v>0</v>
      </c>
      <c r="T33" s="237">
        <f t="shared" si="3"/>
        <v>0</v>
      </c>
      <c r="U33" s="238" t="e">
        <f>(VLOOKUP($P$9,Per_diem_table,1)*N33)-SUM((X33,Y33,Z33))</f>
        <v>#REF!</v>
      </c>
      <c r="V33" s="237"/>
      <c r="X33" s="170">
        <f>IF(AND(N33=0.75,($O33="TRUE")),ABS('Per Diem Calc Tool'!$R33*0.75),IF($O33="TRUE",ABS('Per Diem Calc Tool'!$R33),""))</f>
      </c>
      <c r="Y33" s="170">
        <f>IF(AND(N33=0.75,($P33="TRUE")),ABS('Per Diem Calc Tool'!$S33*0.75),IF($P33="TRUE",ABS('Per Diem Calc Tool'!$S33),""))</f>
      </c>
      <c r="Z33" s="170">
        <f>IF(AND(N33=0.75,($Q33="TRUE")),ABS('Per Diem Calc Tool'!$T33*0.75),IF($Q33="TRUE",ABS('Per Diem Calc Tool'!$T33),""))</f>
      </c>
    </row>
    <row r="34" spans="1:26" ht="15" customHeight="1">
      <c r="A34" s="32">
        <f>IF(M64=TRUE,A33+1,"")</f>
      </c>
      <c r="B34" s="228" t="e">
        <f>#REF!</f>
        <v>#REF!</v>
      </c>
      <c r="C34" s="228" t="e">
        <f>#REF!</f>
        <v>#REF!</v>
      </c>
      <c r="D34" s="228" t="e">
        <f>#REF!</f>
        <v>#REF!</v>
      </c>
      <c r="E34" s="33">
        <f>IF(M64=FALSE,0,+V64)</f>
        <v>0</v>
      </c>
      <c r="F34" s="208"/>
      <c r="G34" s="208"/>
      <c r="H34" s="208"/>
      <c r="I34" s="208"/>
      <c r="J34" s="37"/>
      <c r="K34" s="231" t="str">
        <f t="shared" si="0"/>
        <v>NO</v>
      </c>
      <c r="L34" s="239">
        <v>5</v>
      </c>
      <c r="M34" s="169" t="b">
        <f>+L34&lt;=O7</f>
        <v>0</v>
      </c>
      <c r="N34" s="235">
        <f>IF(L34=O7,0.75,1)</f>
        <v>1</v>
      </c>
      <c r="O34" s="236" t="e">
        <f>IF(B24="X","TRUE","FALSE")</f>
        <v>#REF!</v>
      </c>
      <c r="P34" s="236" t="e">
        <f>IF(C24="X","TRUE","FALSE")</f>
        <v>#REF!</v>
      </c>
      <c r="Q34" s="236" t="e">
        <f>IF(D24="X","TRUE","FALSE")</f>
        <v>#REF!</v>
      </c>
      <c r="R34" s="237" t="e">
        <f t="shared" si="1"/>
        <v>#REF!</v>
      </c>
      <c r="S34" s="237" t="e">
        <f t="shared" si="2"/>
        <v>#REF!</v>
      </c>
      <c r="T34" s="237" t="e">
        <f t="shared" si="3"/>
        <v>#REF!</v>
      </c>
      <c r="U34" s="238" t="e">
        <f>(VLOOKUP($P$9,Per_diem_table,1)*N34)-SUM((X34,Y34,Z34))</f>
        <v>#REF!</v>
      </c>
      <c r="V34" s="237" t="e">
        <f>IF(U34&lt;5,5,U34)</f>
        <v>#REF!</v>
      </c>
      <c r="X34" s="170" t="e">
        <f>IF(AND(N34=0.75,($O34="TRUE")),ABS('Per Diem Calc Tool'!$R34*0.75),IF($O34="TRUE",ABS('Per Diem Calc Tool'!$R34),""))</f>
        <v>#REF!</v>
      </c>
      <c r="Y34" s="170" t="e">
        <f>IF(AND(N34=0.75,($P34="TRUE")),ABS('Per Diem Calc Tool'!$S34*0.75),IF($P34="TRUE",ABS('Per Diem Calc Tool'!$S34),""))</f>
        <v>#REF!</v>
      </c>
      <c r="Z34" s="170" t="e">
        <f>IF(AND(N34=0.75,($Q34="TRUE")),ABS('Per Diem Calc Tool'!$T34*0.75),IF($Q34="TRUE",ABS('Per Diem Calc Tool'!$T34),""))</f>
        <v>#REF!</v>
      </c>
    </row>
    <row r="35" spans="1:26" ht="15" customHeight="1">
      <c r="A35" s="32">
        <f>IF(M67=TRUE,A34+1,"")</f>
      </c>
      <c r="B35" s="228" t="e">
        <f>#REF!</f>
        <v>#REF!</v>
      </c>
      <c r="C35" s="228" t="e">
        <f>#REF!</f>
        <v>#REF!</v>
      </c>
      <c r="D35" s="228" t="e">
        <f>#REF!</f>
        <v>#REF!</v>
      </c>
      <c r="E35" s="33">
        <f>IF(M67=FALSE,0,+V67)</f>
        <v>0</v>
      </c>
      <c r="F35" s="208"/>
      <c r="G35" s="208"/>
      <c r="H35" s="208"/>
      <c r="I35" s="208"/>
      <c r="J35" s="37"/>
      <c r="K35" s="231" t="str">
        <f t="shared" si="0"/>
        <v>NO</v>
      </c>
      <c r="L35" s="239"/>
      <c r="N35" s="235"/>
      <c r="O35" s="236"/>
      <c r="P35" s="236"/>
      <c r="Q35" s="236"/>
      <c r="R35" s="237">
        <f t="shared" si="1"/>
        <v>0</v>
      </c>
      <c r="S35" s="237">
        <f t="shared" si="2"/>
        <v>0</v>
      </c>
      <c r="T35" s="237">
        <f t="shared" si="3"/>
        <v>0</v>
      </c>
      <c r="U35" s="238" t="e">
        <f>(VLOOKUP($P$9,Per_diem_table,1)*N35)-SUM((X35,Y35,Z35))</f>
        <v>#REF!</v>
      </c>
      <c r="V35" s="237"/>
      <c r="X35" s="170">
        <f>IF(AND(N35=0.75,($O35="TRUE")),ABS('Per Diem Calc Tool'!$R35*0.75),IF($O35="TRUE",ABS('Per Diem Calc Tool'!$R35),""))</f>
      </c>
      <c r="Y35" s="170">
        <f>IF(AND(N35=0.75,($P35="TRUE")),ABS('Per Diem Calc Tool'!$S35*0.75),IF($P35="TRUE",ABS('Per Diem Calc Tool'!$S35),""))</f>
      </c>
      <c r="Z35" s="170">
        <f>IF(AND(N35=0.75,($Q35="TRUE")),ABS('Per Diem Calc Tool'!$T35*0.75),IF($Q35="TRUE",ABS('Per Diem Calc Tool'!$T35),""))</f>
      </c>
    </row>
    <row r="36" spans="1:26" ht="15" customHeight="1">
      <c r="A36" s="32">
        <f>IF(M70=TRUE,A35+1,"")</f>
      </c>
      <c r="B36" s="228" t="e">
        <f>#REF!</f>
        <v>#REF!</v>
      </c>
      <c r="C36" s="228" t="e">
        <f>#REF!</f>
        <v>#REF!</v>
      </c>
      <c r="D36" s="228" t="e">
        <f>#REF!</f>
        <v>#REF!</v>
      </c>
      <c r="E36" s="33">
        <f>IF(M70=FALSE,0,+V70)</f>
        <v>0</v>
      </c>
      <c r="F36" s="208"/>
      <c r="G36" s="208"/>
      <c r="H36" s="208"/>
      <c r="I36" s="208"/>
      <c r="J36" s="37"/>
      <c r="K36" s="231" t="str">
        <f t="shared" si="0"/>
        <v>NO</v>
      </c>
      <c r="L36" s="239"/>
      <c r="N36" s="235"/>
      <c r="O36" s="236"/>
      <c r="P36" s="236"/>
      <c r="Q36" s="236"/>
      <c r="R36" s="237">
        <f t="shared" si="1"/>
        <v>0</v>
      </c>
      <c r="S36" s="237">
        <f t="shared" si="2"/>
        <v>0</v>
      </c>
      <c r="T36" s="237">
        <f t="shared" si="3"/>
        <v>0</v>
      </c>
      <c r="U36" s="238" t="e">
        <f>(VLOOKUP($P$9,Per_diem_table,1)*N36)-SUM((X36,Y36,Z36))</f>
        <v>#REF!</v>
      </c>
      <c r="V36" s="237"/>
      <c r="X36" s="170">
        <f>IF(AND(N36=0.75,($O36="TRUE")),ABS('Per Diem Calc Tool'!$R36*0.75),IF($O36="TRUE",ABS('Per Diem Calc Tool'!$R36),""))</f>
      </c>
      <c r="Y36" s="170">
        <f>IF(AND(N36=0.75,($P36="TRUE")),ABS('Per Diem Calc Tool'!$S36*0.75),IF($P36="TRUE",ABS('Per Diem Calc Tool'!$S36),""))</f>
      </c>
      <c r="Z36" s="170">
        <f>IF(AND(N36=0.75,($Q36="TRUE")),ABS('Per Diem Calc Tool'!$T36*0.75),IF($Q36="TRUE",ABS('Per Diem Calc Tool'!$T36),""))</f>
      </c>
    </row>
    <row r="37" spans="1:26" ht="15" customHeight="1">
      <c r="A37" s="32">
        <f>IF(M73=TRUE,A36+1,"")</f>
      </c>
      <c r="B37" s="228" t="e">
        <f>#REF!</f>
        <v>#REF!</v>
      </c>
      <c r="C37" s="228" t="e">
        <f>#REF!</f>
        <v>#REF!</v>
      </c>
      <c r="D37" s="228" t="e">
        <f>#REF!</f>
        <v>#REF!</v>
      </c>
      <c r="E37" s="33">
        <f>IF(M73=FALSE,0,+V73)</f>
        <v>0</v>
      </c>
      <c r="F37" s="208"/>
      <c r="G37" s="208"/>
      <c r="H37" s="208"/>
      <c r="I37" s="208"/>
      <c r="J37" s="37"/>
      <c r="K37" s="231" t="str">
        <f t="shared" si="0"/>
        <v>NO</v>
      </c>
      <c r="L37" s="239">
        <v>6</v>
      </c>
      <c r="M37" s="169" t="b">
        <f>+L37&lt;=O7</f>
        <v>0</v>
      </c>
      <c r="N37" s="235">
        <f>IF(L37=O7,0.75,1)</f>
        <v>1</v>
      </c>
      <c r="O37" s="236" t="e">
        <f>IF(B25="X","TRUE","FALSE")</f>
        <v>#REF!</v>
      </c>
      <c r="P37" s="236" t="e">
        <f>IF(C25="X","TRUE","FALSE")</f>
        <v>#REF!</v>
      </c>
      <c r="Q37" s="236" t="e">
        <f>IF(D25="X","TRUE","FALSE")</f>
        <v>#REF!</v>
      </c>
      <c r="R37" s="237" t="e">
        <f t="shared" si="1"/>
        <v>#REF!</v>
      </c>
      <c r="S37" s="237" t="e">
        <f t="shared" si="2"/>
        <v>#REF!</v>
      </c>
      <c r="T37" s="237" t="e">
        <f t="shared" si="3"/>
        <v>#REF!</v>
      </c>
      <c r="U37" s="238" t="e">
        <f>(VLOOKUP($P$9,Per_diem_table,1)*N37)-SUM((X37,Y37,Z37))</f>
        <v>#REF!</v>
      </c>
      <c r="V37" s="237" t="e">
        <f>IF(U37&lt;5,5,U37)</f>
        <v>#REF!</v>
      </c>
      <c r="X37" s="170" t="e">
        <f>IF(AND(N37=0.75,($O37="TRUE")),ABS('Per Diem Calc Tool'!$R37*0.75),IF($O37="TRUE",ABS('Per Diem Calc Tool'!$R37),""))</f>
        <v>#REF!</v>
      </c>
      <c r="Y37" s="170" t="e">
        <f>IF(AND(N37=0.75,($P37="TRUE")),ABS('Per Diem Calc Tool'!$S37*0.75),IF($P37="TRUE",ABS('Per Diem Calc Tool'!$S37),""))</f>
        <v>#REF!</v>
      </c>
      <c r="Z37" s="170" t="e">
        <f>IF(AND(N37=0.75,($Q37="TRUE")),ABS('Per Diem Calc Tool'!$T37*0.75),IF($Q37="TRUE",ABS('Per Diem Calc Tool'!$T37),""))</f>
        <v>#REF!</v>
      </c>
    </row>
    <row r="38" spans="1:26" ht="15" customHeight="1">
      <c r="A38" s="32">
        <f>IF(M76=TRUE,A37+1,"")</f>
      </c>
      <c r="B38" s="228" t="e">
        <f>#REF!</f>
        <v>#REF!</v>
      </c>
      <c r="C38" s="228" t="e">
        <f>#REF!</f>
        <v>#REF!</v>
      </c>
      <c r="D38" s="228" t="e">
        <f>#REF!</f>
        <v>#REF!</v>
      </c>
      <c r="E38" s="33">
        <f>IF(M76=FALSE,0,+V76)</f>
        <v>0</v>
      </c>
      <c r="F38" s="208"/>
      <c r="G38" s="208"/>
      <c r="H38" s="208"/>
      <c r="I38" s="208"/>
      <c r="J38" s="37"/>
      <c r="K38" s="231" t="str">
        <f t="shared" si="0"/>
        <v>NO</v>
      </c>
      <c r="L38" s="239"/>
      <c r="N38" s="235"/>
      <c r="O38" s="236"/>
      <c r="P38" s="236"/>
      <c r="Q38" s="236"/>
      <c r="R38" s="237">
        <f t="shared" si="1"/>
        <v>0</v>
      </c>
      <c r="S38" s="237">
        <f t="shared" si="2"/>
        <v>0</v>
      </c>
      <c r="T38" s="237">
        <f t="shared" si="3"/>
        <v>0</v>
      </c>
      <c r="U38" s="238" t="e">
        <f>(VLOOKUP($P$9,Per_diem_table,1)*N38)-SUM((X38,Y38,Z38))</f>
        <v>#REF!</v>
      </c>
      <c r="V38" s="237"/>
      <c r="X38" s="170">
        <f>IF(AND(N38=0.75,($O38="TRUE")),ABS('Per Diem Calc Tool'!$R38*0.75),IF($O38="TRUE",ABS('Per Diem Calc Tool'!$R38),""))</f>
      </c>
      <c r="Y38" s="170">
        <f>IF(AND(N38=0.75,($P38="TRUE")),ABS('Per Diem Calc Tool'!$S38*0.75),IF($P38="TRUE",ABS('Per Diem Calc Tool'!$S38),""))</f>
      </c>
      <c r="Z38" s="170">
        <f>IF(AND(N38=0.75,($Q38="TRUE")),ABS('Per Diem Calc Tool'!$T38*0.75),IF($Q38="TRUE",ABS('Per Diem Calc Tool'!$T38),""))</f>
      </c>
    </row>
    <row r="39" spans="1:26" ht="15" customHeight="1">
      <c r="A39" s="32">
        <f>IF(M79=TRUE,A38+1,"")</f>
      </c>
      <c r="B39" s="228" t="e">
        <f>#REF!</f>
        <v>#REF!</v>
      </c>
      <c r="C39" s="228" t="e">
        <f>#REF!</f>
        <v>#REF!</v>
      </c>
      <c r="D39" s="228" t="e">
        <f>#REF!</f>
        <v>#REF!</v>
      </c>
      <c r="E39" s="33">
        <f>IF(M79=FALSE,0,+V79)</f>
        <v>0</v>
      </c>
      <c r="F39" s="208"/>
      <c r="G39" s="208"/>
      <c r="H39" s="208"/>
      <c r="I39" s="208"/>
      <c r="J39" s="37"/>
      <c r="K39" s="231" t="str">
        <f t="shared" si="0"/>
        <v>NO</v>
      </c>
      <c r="L39" s="239"/>
      <c r="N39" s="235"/>
      <c r="O39" s="236"/>
      <c r="P39" s="236"/>
      <c r="Q39" s="236"/>
      <c r="R39" s="237">
        <f t="shared" si="1"/>
        <v>0</v>
      </c>
      <c r="S39" s="237">
        <f t="shared" si="2"/>
        <v>0</v>
      </c>
      <c r="T39" s="237">
        <f t="shared" si="3"/>
        <v>0</v>
      </c>
      <c r="U39" s="238" t="e">
        <f>(VLOOKUP($P$9,Per_diem_table,1)*N39)-SUM((X39,Y39,Z39))</f>
        <v>#REF!</v>
      </c>
      <c r="V39" s="237"/>
      <c r="X39" s="170">
        <f>IF(AND(N39=0.75,($O39="TRUE")),ABS('Per Diem Calc Tool'!$R39*0.75),IF($O39="TRUE",ABS('Per Diem Calc Tool'!$R39),""))</f>
      </c>
      <c r="Y39" s="170">
        <f>IF(AND(N39=0.75,($P39="TRUE")),ABS('Per Diem Calc Tool'!$S39*0.75),IF($P39="TRUE",ABS('Per Diem Calc Tool'!$S39),""))</f>
      </c>
      <c r="Z39" s="170">
        <f>IF(AND(N39=0.75,($Q39="TRUE")),ABS('Per Diem Calc Tool'!$T39*0.75),IF($Q39="TRUE",ABS('Per Diem Calc Tool'!$T39),""))</f>
      </c>
    </row>
    <row r="40" spans="1:26" ht="15" customHeight="1">
      <c r="A40" s="32">
        <f>IF(M82=TRUE,A39+1,"")</f>
      </c>
      <c r="B40" s="228" t="e">
        <f>#REF!</f>
        <v>#REF!</v>
      </c>
      <c r="C40" s="228" t="e">
        <f>#REF!</f>
        <v>#REF!</v>
      </c>
      <c r="D40" s="228" t="e">
        <f>#REF!</f>
        <v>#REF!</v>
      </c>
      <c r="E40" s="33">
        <f>IF(M82=FALSE,0,+V82)</f>
        <v>0</v>
      </c>
      <c r="F40" s="208"/>
      <c r="G40" s="208"/>
      <c r="H40" s="208"/>
      <c r="I40" s="208"/>
      <c r="J40" s="37"/>
      <c r="K40" s="231" t="str">
        <f t="shared" si="0"/>
        <v>NO</v>
      </c>
      <c r="L40" s="239">
        <v>7</v>
      </c>
      <c r="M40" s="169" t="b">
        <f>+L40&lt;=O7</f>
        <v>0</v>
      </c>
      <c r="N40" s="235">
        <f>IF(L40=O7,0.75,1)</f>
        <v>1</v>
      </c>
      <c r="O40" s="236" t="e">
        <f>IF(B26="X","TRUE","FALSE")</f>
        <v>#REF!</v>
      </c>
      <c r="P40" s="236" t="e">
        <f>IF(C26="X","TRUE","FALSE")</f>
        <v>#REF!</v>
      </c>
      <c r="Q40" s="236" t="e">
        <f>IF(D26="X","TRUE","FALSE")</f>
        <v>#REF!</v>
      </c>
      <c r="R40" s="237" t="e">
        <f t="shared" si="1"/>
        <v>#REF!</v>
      </c>
      <c r="S40" s="237" t="e">
        <f t="shared" si="2"/>
        <v>#REF!</v>
      </c>
      <c r="T40" s="237" t="e">
        <f t="shared" si="3"/>
        <v>#REF!</v>
      </c>
      <c r="U40" s="238" t="e">
        <f>(VLOOKUP($P$9,Per_diem_table,1)*N40)-SUM((X40,Y40,Z40))</f>
        <v>#REF!</v>
      </c>
      <c r="V40" s="237" t="e">
        <f>IF(U40&lt;5,5,U40)</f>
        <v>#REF!</v>
      </c>
      <c r="X40" s="170" t="e">
        <f>IF(AND(N40=0.75,($O40="TRUE")),ABS('Per Diem Calc Tool'!$R40*0.75),IF($O40="TRUE",ABS('Per Diem Calc Tool'!$R40),""))</f>
        <v>#REF!</v>
      </c>
      <c r="Y40" s="170" t="e">
        <f>IF(AND(N40=0.75,($P40="TRUE")),ABS('Per Diem Calc Tool'!$S40*0.75),IF($P40="TRUE",ABS('Per Diem Calc Tool'!$S40),""))</f>
        <v>#REF!</v>
      </c>
      <c r="Z40" s="170" t="e">
        <f>IF(AND(N40=0.75,($Q40="TRUE")),ABS('Per Diem Calc Tool'!$T40*0.75),IF($Q40="TRUE",ABS('Per Diem Calc Tool'!$T40),""))</f>
        <v>#REF!</v>
      </c>
    </row>
    <row r="41" spans="1:26" ht="15" customHeight="1">
      <c r="A41" s="32">
        <f>IF(M85=TRUE,A40+1,"")</f>
      </c>
      <c r="B41" s="228" t="e">
        <f>#REF!</f>
        <v>#REF!</v>
      </c>
      <c r="C41" s="228" t="e">
        <f>#REF!</f>
        <v>#REF!</v>
      </c>
      <c r="D41" s="228" t="e">
        <f>#REF!</f>
        <v>#REF!</v>
      </c>
      <c r="E41" s="33">
        <f>IF(M85=FALSE,0,+V85)</f>
        <v>0</v>
      </c>
      <c r="F41" s="208"/>
      <c r="G41" s="208"/>
      <c r="H41" s="208"/>
      <c r="I41" s="208"/>
      <c r="J41" s="37"/>
      <c r="K41" s="231" t="str">
        <f t="shared" si="0"/>
        <v>NO</v>
      </c>
      <c r="L41" s="239"/>
      <c r="N41" s="235"/>
      <c r="O41" s="236"/>
      <c r="P41" s="236"/>
      <c r="Q41" s="236"/>
      <c r="R41" s="237">
        <f t="shared" si="1"/>
        <v>0</v>
      </c>
      <c r="S41" s="237">
        <f t="shared" si="2"/>
        <v>0</v>
      </c>
      <c r="T41" s="237">
        <f t="shared" si="3"/>
        <v>0</v>
      </c>
      <c r="U41" s="238" t="e">
        <f>(VLOOKUP($P$9,Per_diem_table,1)*N41)-SUM((X41,Y41,Z41))</f>
        <v>#REF!</v>
      </c>
      <c r="V41" s="237"/>
      <c r="X41" s="170">
        <f>IF(AND(N41=0.75,($O41="TRUE")),ABS('Per Diem Calc Tool'!$R41*0.75),IF($O41="TRUE",ABS('Per Diem Calc Tool'!$R41),""))</f>
      </c>
      <c r="Y41" s="170">
        <f>IF(AND(N41=0.75,($P41="TRUE")),ABS('Per Diem Calc Tool'!$S41*0.75),IF($P41="TRUE",ABS('Per Diem Calc Tool'!$S41),""))</f>
      </c>
      <c r="Z41" s="170">
        <f>IF(AND(N41=0.75,($Q41="TRUE")),ABS('Per Diem Calc Tool'!$T41*0.75),IF($Q41="TRUE",ABS('Per Diem Calc Tool'!$T41),""))</f>
      </c>
    </row>
    <row r="42" spans="1:26" ht="15" customHeight="1">
      <c r="A42" s="32">
        <f>IF(M88=TRUE,A41+1,"")</f>
      </c>
      <c r="B42" s="228" t="e">
        <f>#REF!</f>
        <v>#REF!</v>
      </c>
      <c r="C42" s="228" t="e">
        <f>#REF!</f>
        <v>#REF!</v>
      </c>
      <c r="D42" s="228" t="e">
        <f>#REF!</f>
        <v>#REF!</v>
      </c>
      <c r="E42" s="33">
        <f>IF(M88=FALSE,0,+V88)</f>
        <v>0</v>
      </c>
      <c r="F42" s="208"/>
      <c r="G42" s="208"/>
      <c r="H42" s="208"/>
      <c r="I42" s="208"/>
      <c r="J42" s="37"/>
      <c r="K42" s="231" t="str">
        <f t="shared" si="0"/>
        <v>NO</v>
      </c>
      <c r="L42" s="239"/>
      <c r="N42" s="235"/>
      <c r="O42" s="236"/>
      <c r="P42" s="236"/>
      <c r="Q42" s="236"/>
      <c r="R42" s="237">
        <f t="shared" si="1"/>
        <v>0</v>
      </c>
      <c r="S42" s="237">
        <f t="shared" si="2"/>
        <v>0</v>
      </c>
      <c r="T42" s="237">
        <f t="shared" si="3"/>
        <v>0</v>
      </c>
      <c r="U42" s="238" t="e">
        <f>(VLOOKUP($P$9,Per_diem_table,1)*N42)-SUM((X42,Y42,Z42))</f>
        <v>#REF!</v>
      </c>
      <c r="V42" s="237"/>
      <c r="X42" s="170">
        <f>IF(AND(N42=0.75,($O42="TRUE")),ABS('Per Diem Calc Tool'!$R42*0.75),IF($O42="TRUE",ABS('Per Diem Calc Tool'!$R42),""))</f>
      </c>
      <c r="Y42" s="170">
        <f>IF(AND(N42=0.75,($P42="TRUE")),ABS('Per Diem Calc Tool'!$S42*0.75),IF($P42="TRUE",ABS('Per Diem Calc Tool'!$S42),""))</f>
      </c>
      <c r="Z42" s="170">
        <f>IF(AND(N42=0.75,($Q42="TRUE")),ABS('Per Diem Calc Tool'!$T42*0.75),IF($Q42="TRUE",ABS('Per Diem Calc Tool'!$T42),""))</f>
      </c>
    </row>
    <row r="43" spans="1:26" ht="15" customHeight="1">
      <c r="A43" s="32">
        <f>IF(M91=TRUE,A42+1,"")</f>
      </c>
      <c r="B43" s="228" t="e">
        <f>#REF!</f>
        <v>#REF!</v>
      </c>
      <c r="C43" s="228" t="e">
        <f>#REF!</f>
        <v>#REF!</v>
      </c>
      <c r="D43" s="228" t="e">
        <f>#REF!</f>
        <v>#REF!</v>
      </c>
      <c r="E43" s="33">
        <f>IF(M91=FALSE,0,+V91)</f>
        <v>0</v>
      </c>
      <c r="F43" s="208"/>
      <c r="G43" s="208"/>
      <c r="H43" s="208"/>
      <c r="I43" s="208"/>
      <c r="J43" s="37"/>
      <c r="K43" s="231" t="str">
        <f t="shared" si="0"/>
        <v>NO</v>
      </c>
      <c r="L43" s="239">
        <v>8</v>
      </c>
      <c r="M43" s="169" t="b">
        <f>+L43&lt;=O7</f>
        <v>0</v>
      </c>
      <c r="N43" s="235">
        <f>IF(L43=O7,0.75,1)</f>
        <v>1</v>
      </c>
      <c r="O43" s="236" t="e">
        <f>IF(B27="X","TRUE","FALSE")</f>
        <v>#REF!</v>
      </c>
      <c r="P43" s="236" t="e">
        <f>IF(C27="X","TRUE","FALSE")</f>
        <v>#REF!</v>
      </c>
      <c r="Q43" s="236" t="e">
        <f>IF(D27="X","TRUE","FALSE")</f>
        <v>#REF!</v>
      </c>
      <c r="R43" s="237" t="e">
        <f t="shared" si="1"/>
        <v>#REF!</v>
      </c>
      <c r="S43" s="237" t="e">
        <f t="shared" si="2"/>
        <v>#REF!</v>
      </c>
      <c r="T43" s="237" t="e">
        <f t="shared" si="3"/>
        <v>#REF!</v>
      </c>
      <c r="U43" s="238" t="e">
        <f>(VLOOKUP($P$9,Per_diem_table,1)*N43)-SUM((X43,Y43,Z43))</f>
        <v>#REF!</v>
      </c>
      <c r="V43" s="237" t="e">
        <f>IF(U43&lt;5,5,U43)</f>
        <v>#REF!</v>
      </c>
      <c r="X43" s="170" t="e">
        <f>IF(AND(N43=0.75,($O43="TRUE")),ABS('Per Diem Calc Tool'!$R43*0.75),IF($O43="TRUE",ABS('Per Diem Calc Tool'!$R43),""))</f>
        <v>#REF!</v>
      </c>
      <c r="Y43" s="170" t="e">
        <f>IF(AND(N43=0.75,($P43="TRUE")),ABS('Per Diem Calc Tool'!$S43*0.75),IF($P43="TRUE",ABS('Per Diem Calc Tool'!$S43),""))</f>
        <v>#REF!</v>
      </c>
      <c r="Z43" s="170" t="e">
        <f>IF(AND(N43=0.75,($Q43="TRUE")),ABS('Per Diem Calc Tool'!$T43*0.75),IF($Q43="TRUE",ABS('Per Diem Calc Tool'!$T43),""))</f>
        <v>#REF!</v>
      </c>
    </row>
    <row r="44" spans="1:26" ht="15" customHeight="1">
      <c r="A44" s="32">
        <f>IF(M94=TRUE,A43+1,"")</f>
      </c>
      <c r="B44" s="228" t="e">
        <f>#REF!</f>
        <v>#REF!</v>
      </c>
      <c r="C44" s="228" t="e">
        <f>#REF!</f>
        <v>#REF!</v>
      </c>
      <c r="D44" s="228" t="e">
        <f>#REF!</f>
        <v>#REF!</v>
      </c>
      <c r="E44" s="33">
        <f>IF(M94=FALSE,0,+V94)</f>
        <v>0</v>
      </c>
      <c r="F44" s="208"/>
      <c r="G44" s="208"/>
      <c r="H44" s="208"/>
      <c r="I44" s="208"/>
      <c r="J44" s="37"/>
      <c r="K44" s="231" t="str">
        <f t="shared" si="0"/>
        <v>NO</v>
      </c>
      <c r="L44" s="239"/>
      <c r="N44" s="235"/>
      <c r="O44" s="236"/>
      <c r="P44" s="236"/>
      <c r="Q44" s="236"/>
      <c r="R44" s="237">
        <f t="shared" si="1"/>
        <v>0</v>
      </c>
      <c r="S44" s="237">
        <f t="shared" si="2"/>
        <v>0</v>
      </c>
      <c r="T44" s="237">
        <f t="shared" si="3"/>
        <v>0</v>
      </c>
      <c r="U44" s="238" t="e">
        <f>(VLOOKUP($P$9,Per_diem_table,1)*N44)-SUM((X44,Y44,Z44))</f>
        <v>#REF!</v>
      </c>
      <c r="V44" s="237"/>
      <c r="X44" s="170">
        <f>IF(AND(N44=0.75,($O44="TRUE")),ABS('Per Diem Calc Tool'!$R44*0.75),IF($O44="TRUE",ABS('Per Diem Calc Tool'!$R44),""))</f>
      </c>
      <c r="Y44" s="170">
        <f>IF(AND(N44=0.75,($P44="TRUE")),ABS('Per Diem Calc Tool'!$S44*0.75),IF($P44="TRUE",ABS('Per Diem Calc Tool'!$S44),""))</f>
      </c>
      <c r="Z44" s="170">
        <f>IF(AND(N44=0.75,($Q44="TRUE")),ABS('Per Diem Calc Tool'!$T44*0.75),IF($Q44="TRUE",ABS('Per Diem Calc Tool'!$T44),""))</f>
      </c>
    </row>
    <row r="45" spans="1:26" ht="15" customHeight="1">
      <c r="A45" s="32">
        <f>IF(M97=TRUE,A44+1,"")</f>
      </c>
      <c r="B45" s="228" t="e">
        <f>#REF!</f>
        <v>#REF!</v>
      </c>
      <c r="C45" s="228" t="e">
        <f>#REF!</f>
        <v>#REF!</v>
      </c>
      <c r="D45" s="228" t="e">
        <f>#REF!</f>
        <v>#REF!</v>
      </c>
      <c r="E45" s="33">
        <f>IF(M97=FALSE,0,+V97)</f>
        <v>0</v>
      </c>
      <c r="F45" s="208"/>
      <c r="G45" s="208"/>
      <c r="H45" s="208"/>
      <c r="I45" s="208"/>
      <c r="J45" s="37"/>
      <c r="K45" s="231" t="str">
        <f t="shared" si="0"/>
        <v>NO</v>
      </c>
      <c r="L45" s="239"/>
      <c r="N45" s="235"/>
      <c r="O45" s="236"/>
      <c r="P45" s="236"/>
      <c r="Q45" s="236"/>
      <c r="R45" s="237">
        <f t="shared" si="1"/>
        <v>0</v>
      </c>
      <c r="S45" s="237">
        <f t="shared" si="2"/>
        <v>0</v>
      </c>
      <c r="T45" s="237">
        <f t="shared" si="3"/>
        <v>0</v>
      </c>
      <c r="U45" s="238" t="e">
        <f>(VLOOKUP($P$9,Per_diem_table,1)*N45)-SUM((X45,Y45,Z45))</f>
        <v>#REF!</v>
      </c>
      <c r="V45" s="237"/>
      <c r="X45" s="170">
        <f>IF(AND(N45=0.75,($O45="TRUE")),ABS('Per Diem Calc Tool'!$R45*0.75),IF($O45="TRUE",ABS('Per Diem Calc Tool'!$R45),""))</f>
      </c>
      <c r="Y45" s="170">
        <f>IF(AND(N45=0.75,($P45="TRUE")),ABS('Per Diem Calc Tool'!$S45*0.75),IF($P45="TRUE",ABS('Per Diem Calc Tool'!$S45),""))</f>
      </c>
      <c r="Z45" s="170">
        <f>IF(AND(N45=0.75,($Q45="TRUE")),ABS('Per Diem Calc Tool'!$T45*0.75),IF($Q45="TRUE",ABS('Per Diem Calc Tool'!$T45),""))</f>
      </c>
    </row>
    <row r="46" spans="1:26" ht="15" customHeight="1">
      <c r="A46" s="32">
        <f>IF(M100=TRUE,A45+1,"")</f>
      </c>
      <c r="B46" s="228" t="e">
        <f>#REF!</f>
        <v>#REF!</v>
      </c>
      <c r="C46" s="228" t="e">
        <f>#REF!</f>
        <v>#REF!</v>
      </c>
      <c r="D46" s="228" t="e">
        <f>#REF!</f>
        <v>#REF!</v>
      </c>
      <c r="E46" s="33">
        <f>IF(M100=FALSE,0,+V100)</f>
        <v>0</v>
      </c>
      <c r="F46" s="208"/>
      <c r="G46" s="208"/>
      <c r="H46" s="208"/>
      <c r="I46" s="208"/>
      <c r="J46" s="37"/>
      <c r="K46" s="231" t="str">
        <f aca="true" t="shared" si="4" ref="K46:K83">IF(A46="","NO","YES")</f>
        <v>NO</v>
      </c>
      <c r="L46" s="239">
        <v>9</v>
      </c>
      <c r="M46" s="169" t="b">
        <f>+L46&lt;=$O$7</f>
        <v>0</v>
      </c>
      <c r="N46" s="235">
        <f>IF(L46=$O$7,0.75,1)</f>
        <v>1</v>
      </c>
      <c r="O46" s="236" t="e">
        <f>IF(B28="X","TRUE","FALSE")</f>
        <v>#REF!</v>
      </c>
      <c r="P46" s="236" t="e">
        <f>IF(C28="X","TRUE","FALSE")</f>
        <v>#REF!</v>
      </c>
      <c r="Q46" s="236" t="e">
        <f>IF(D28="X","TRUE","FALSE")</f>
        <v>#REF!</v>
      </c>
      <c r="R46" s="237" t="e">
        <f t="shared" si="1"/>
        <v>#REF!</v>
      </c>
      <c r="S46" s="237" t="e">
        <f t="shared" si="2"/>
        <v>#REF!</v>
      </c>
      <c r="T46" s="237" t="e">
        <f t="shared" si="3"/>
        <v>#REF!</v>
      </c>
      <c r="U46" s="238" t="e">
        <f>(VLOOKUP($P$9,Per_diem_table,1)*N46)-SUM((X46,Y46,Z46))</f>
        <v>#REF!</v>
      </c>
      <c r="V46" s="237" t="e">
        <f>IF(U46&lt;5,5,U46)</f>
        <v>#REF!</v>
      </c>
      <c r="X46" s="170" t="e">
        <f>IF(AND(N46=0.75,($O46="TRUE")),ABS('Per Diem Calc Tool'!$R46*0.75),IF($O46="TRUE",ABS('Per Diem Calc Tool'!$R46),""))</f>
        <v>#REF!</v>
      </c>
      <c r="Y46" s="170" t="e">
        <f>IF(AND(N46=0.75,($P46="TRUE")),ABS('Per Diem Calc Tool'!$S46*0.75),IF($P46="TRUE",ABS('Per Diem Calc Tool'!$S46),""))</f>
        <v>#REF!</v>
      </c>
      <c r="Z46" s="170" t="e">
        <f>IF(AND(N46=0.75,($Q46="TRUE")),ABS('Per Diem Calc Tool'!$T46*0.75),IF($Q46="TRUE",ABS('Per Diem Calc Tool'!$T46),""))</f>
        <v>#REF!</v>
      </c>
    </row>
    <row r="47" spans="1:26" ht="15" customHeight="1">
      <c r="A47" s="32">
        <f>IF(M103=TRUE,A46+1,"")</f>
      </c>
      <c r="B47" s="228" t="e">
        <f>#REF!</f>
        <v>#REF!</v>
      </c>
      <c r="C47" s="228" t="e">
        <f>#REF!</f>
        <v>#REF!</v>
      </c>
      <c r="D47" s="228" t="e">
        <f>#REF!</f>
        <v>#REF!</v>
      </c>
      <c r="E47" s="33">
        <f>IF(M103=FALSE,0,+V103)</f>
        <v>0</v>
      </c>
      <c r="F47" s="208"/>
      <c r="G47" s="208"/>
      <c r="H47" s="208"/>
      <c r="I47" s="208"/>
      <c r="J47" s="37"/>
      <c r="K47" s="231" t="str">
        <f t="shared" si="4"/>
        <v>NO</v>
      </c>
      <c r="L47" s="239"/>
      <c r="N47" s="235"/>
      <c r="O47" s="236"/>
      <c r="P47" s="236"/>
      <c r="Q47" s="236"/>
      <c r="R47" s="237">
        <f t="shared" si="1"/>
        <v>0</v>
      </c>
      <c r="S47" s="237">
        <f t="shared" si="2"/>
        <v>0</v>
      </c>
      <c r="T47" s="237">
        <f t="shared" si="3"/>
        <v>0</v>
      </c>
      <c r="U47" s="238" t="e">
        <f>(VLOOKUP($P$9,Per_diem_table,1)*N47)-SUM((X47,Y47,Z47))</f>
        <v>#REF!</v>
      </c>
      <c r="V47" s="237"/>
      <c r="X47" s="170">
        <f>IF(AND(N47=0.75,($O47="TRUE")),ABS('Per Diem Calc Tool'!$R47*0.75),IF($O47="TRUE",ABS('Per Diem Calc Tool'!$R47),""))</f>
      </c>
      <c r="Y47" s="170">
        <f>IF(AND(N47=0.75,($P47="TRUE")),ABS('Per Diem Calc Tool'!$S47*0.75),IF($P47="TRUE",ABS('Per Diem Calc Tool'!$S47),""))</f>
      </c>
      <c r="Z47" s="170">
        <f>IF(AND(N47=0.75,($Q47="TRUE")),ABS('Per Diem Calc Tool'!$T47*0.75),IF($Q47="TRUE",ABS('Per Diem Calc Tool'!$T47),""))</f>
      </c>
    </row>
    <row r="48" spans="1:26" ht="15" customHeight="1">
      <c r="A48" s="32">
        <f>IF(M106=TRUE,A47+1,"")</f>
      </c>
      <c r="B48" s="228" t="e">
        <f>#REF!</f>
        <v>#REF!</v>
      </c>
      <c r="C48" s="228" t="e">
        <f>#REF!</f>
        <v>#REF!</v>
      </c>
      <c r="D48" s="228" t="e">
        <f>#REF!</f>
        <v>#REF!</v>
      </c>
      <c r="E48" s="33">
        <f>IF(M106=FALSE,0,+V106)</f>
        <v>0</v>
      </c>
      <c r="F48" s="208"/>
      <c r="G48" s="208"/>
      <c r="H48" s="208"/>
      <c r="I48" s="208"/>
      <c r="J48" s="37"/>
      <c r="K48" s="231" t="str">
        <f t="shared" si="4"/>
        <v>NO</v>
      </c>
      <c r="L48" s="239"/>
      <c r="N48" s="235"/>
      <c r="O48" s="236"/>
      <c r="P48" s="236"/>
      <c r="Q48" s="236"/>
      <c r="R48" s="237">
        <f t="shared" si="1"/>
        <v>0</v>
      </c>
      <c r="S48" s="237">
        <f t="shared" si="2"/>
        <v>0</v>
      </c>
      <c r="T48" s="237">
        <f t="shared" si="3"/>
        <v>0</v>
      </c>
      <c r="U48" s="238" t="e">
        <f>(VLOOKUP($P$9,Per_diem_table,1)*N48)-SUM((X48,Y48,Z48))</f>
        <v>#REF!</v>
      </c>
      <c r="V48" s="237"/>
      <c r="X48" s="170">
        <f>IF(AND(N48=0.75,($O48="TRUE")),ABS('Per Diem Calc Tool'!$R48*0.75),IF($O48="TRUE",ABS('Per Diem Calc Tool'!$R48),""))</f>
      </c>
      <c r="Y48" s="170">
        <f>IF(AND(N48=0.75,($P48="TRUE")),ABS('Per Diem Calc Tool'!$S48*0.75),IF($P48="TRUE",ABS('Per Diem Calc Tool'!$S48),""))</f>
      </c>
      <c r="Z48" s="170">
        <f>IF(AND(N48=0.75,($Q48="TRUE")),ABS('Per Diem Calc Tool'!$T48*0.75),IF($Q48="TRUE",ABS('Per Diem Calc Tool'!$T48),""))</f>
      </c>
    </row>
    <row r="49" spans="1:26" ht="15" customHeight="1">
      <c r="A49" s="32">
        <f>IF(M109=TRUE,A48+1,"")</f>
      </c>
      <c r="B49" s="228" t="e">
        <f>#REF!</f>
        <v>#REF!</v>
      </c>
      <c r="C49" s="228" t="e">
        <f>#REF!</f>
        <v>#REF!</v>
      </c>
      <c r="D49" s="228" t="e">
        <f>#REF!</f>
        <v>#REF!</v>
      </c>
      <c r="E49" s="33">
        <f>IF(M109=FALSE,0,+V109)</f>
        <v>0</v>
      </c>
      <c r="F49" s="208"/>
      <c r="G49" s="208"/>
      <c r="H49" s="208"/>
      <c r="I49" s="208"/>
      <c r="J49" s="37"/>
      <c r="K49" s="231" t="str">
        <f t="shared" si="4"/>
        <v>NO</v>
      </c>
      <c r="L49" s="239">
        <v>10</v>
      </c>
      <c r="M49" s="169" t="b">
        <f>+L49&lt;=$O$7</f>
        <v>0</v>
      </c>
      <c r="N49" s="235">
        <f>IF(L49=$O$7,0.75,1)</f>
        <v>1</v>
      </c>
      <c r="O49" s="236" t="e">
        <f>IF(B29="X","TRUE","FALSE")</f>
        <v>#REF!</v>
      </c>
      <c r="P49" s="236" t="e">
        <f>IF(C29="X","TRUE","FALSE")</f>
        <v>#REF!</v>
      </c>
      <c r="Q49" s="236" t="e">
        <f>IF(D29="X","TRUE","FALSE")</f>
        <v>#REF!</v>
      </c>
      <c r="R49" s="237" t="e">
        <f t="shared" si="1"/>
        <v>#REF!</v>
      </c>
      <c r="S49" s="237" t="e">
        <f t="shared" si="2"/>
        <v>#REF!</v>
      </c>
      <c r="T49" s="237" t="e">
        <f t="shared" si="3"/>
        <v>#REF!</v>
      </c>
      <c r="U49" s="238" t="e">
        <f>(VLOOKUP($P$9,Per_diem_table,1)*N49)-SUM((X49,Y49,Z49))</f>
        <v>#REF!</v>
      </c>
      <c r="V49" s="237" t="e">
        <f>IF(U49&lt;5,5,U49)</f>
        <v>#REF!</v>
      </c>
      <c r="X49" s="170" t="e">
        <f>IF(AND(N49=0.75,($O49="TRUE")),ABS('Per Diem Calc Tool'!$R49*0.75),IF($O49="TRUE",ABS('Per Diem Calc Tool'!$R49),""))</f>
        <v>#REF!</v>
      </c>
      <c r="Y49" s="170" t="e">
        <f>IF(AND(N49=0.75,($P49="TRUE")),ABS('Per Diem Calc Tool'!$S49*0.75),IF($P49="TRUE",ABS('Per Diem Calc Tool'!$S49),""))</f>
        <v>#REF!</v>
      </c>
      <c r="Z49" s="170" t="e">
        <f>IF(AND(N49=0.75,($Q49="TRUE")),ABS('Per Diem Calc Tool'!$T49*0.75),IF($Q49="TRUE",ABS('Per Diem Calc Tool'!$T49),""))</f>
        <v>#REF!</v>
      </c>
    </row>
    <row r="50" spans="1:26" ht="15" customHeight="1">
      <c r="A50" s="32">
        <f>IF(M112=TRUE,A49+1,"")</f>
      </c>
      <c r="B50" s="228" t="e">
        <f>#REF!</f>
        <v>#REF!</v>
      </c>
      <c r="C50" s="228" t="e">
        <f>#REF!</f>
        <v>#REF!</v>
      </c>
      <c r="D50" s="228" t="e">
        <f>#REF!</f>
        <v>#REF!</v>
      </c>
      <c r="E50" s="33">
        <f>IF(M112=FALSE,0,+V112)</f>
        <v>0</v>
      </c>
      <c r="F50" s="208"/>
      <c r="G50" s="208"/>
      <c r="H50" s="208"/>
      <c r="I50" s="208"/>
      <c r="J50" s="37"/>
      <c r="K50" s="231" t="str">
        <f t="shared" si="4"/>
        <v>NO</v>
      </c>
      <c r="L50" s="239"/>
      <c r="N50" s="235"/>
      <c r="O50" s="236"/>
      <c r="P50" s="236"/>
      <c r="Q50" s="236"/>
      <c r="R50" s="237">
        <f t="shared" si="1"/>
        <v>0</v>
      </c>
      <c r="S50" s="237">
        <f t="shared" si="2"/>
        <v>0</v>
      </c>
      <c r="T50" s="237">
        <f t="shared" si="3"/>
        <v>0</v>
      </c>
      <c r="U50" s="238" t="e">
        <f>(VLOOKUP($P$9,Per_diem_table,1)*N50)-SUM((X50,Y50,Z50))</f>
        <v>#REF!</v>
      </c>
      <c r="V50" s="237"/>
      <c r="X50" s="170">
        <f>IF(AND(N50=0.75,($O50="TRUE")),ABS('Per Diem Calc Tool'!$R50*0.75),IF($O50="TRUE",ABS('Per Diem Calc Tool'!$R50),""))</f>
      </c>
      <c r="Y50" s="170">
        <f>IF(AND(N50=0.75,($P50="TRUE")),ABS('Per Diem Calc Tool'!$S50*0.75),IF($P50="TRUE",ABS('Per Diem Calc Tool'!$S50),""))</f>
      </c>
      <c r="Z50" s="170">
        <f>IF(AND(N50=0.75,($Q50="TRUE")),ABS('Per Diem Calc Tool'!$T50*0.75),IF($Q50="TRUE",ABS('Per Diem Calc Tool'!$T50),""))</f>
      </c>
    </row>
    <row r="51" spans="1:26" ht="15" customHeight="1">
      <c r="A51" s="32">
        <f>IF(M115=TRUE,A50+1,"")</f>
      </c>
      <c r="B51" s="228" t="e">
        <f>#REF!</f>
        <v>#REF!</v>
      </c>
      <c r="C51" s="228" t="e">
        <f>#REF!</f>
        <v>#REF!</v>
      </c>
      <c r="D51" s="228" t="e">
        <f>#REF!</f>
        <v>#REF!</v>
      </c>
      <c r="E51" s="33">
        <f>IF(M115=FALSE,0,+V115)</f>
        <v>0</v>
      </c>
      <c r="F51" s="208"/>
      <c r="G51" s="208"/>
      <c r="H51" s="208"/>
      <c r="I51" s="208"/>
      <c r="J51" s="37"/>
      <c r="K51" s="231" t="str">
        <f t="shared" si="4"/>
        <v>NO</v>
      </c>
      <c r="L51" s="239"/>
      <c r="N51" s="235"/>
      <c r="O51" s="236"/>
      <c r="P51" s="236"/>
      <c r="Q51" s="236"/>
      <c r="R51" s="237">
        <f t="shared" si="1"/>
        <v>0</v>
      </c>
      <c r="S51" s="237">
        <f t="shared" si="2"/>
        <v>0</v>
      </c>
      <c r="T51" s="237">
        <f t="shared" si="3"/>
        <v>0</v>
      </c>
      <c r="U51" s="238" t="e">
        <f>(VLOOKUP($P$9,Per_diem_table,1)*N51)-SUM((X51,Y51,Z51))</f>
        <v>#REF!</v>
      </c>
      <c r="V51" s="237"/>
      <c r="X51" s="170">
        <f>IF(AND(N51=0.75,($O51="TRUE")),ABS('Per Diem Calc Tool'!$R51*0.75),IF($O51="TRUE",ABS('Per Diem Calc Tool'!$R51),""))</f>
      </c>
      <c r="Y51" s="170">
        <f>IF(AND(N51=0.75,($P51="TRUE")),ABS('Per Diem Calc Tool'!$S51*0.75),IF($P51="TRUE",ABS('Per Diem Calc Tool'!$S51),""))</f>
      </c>
      <c r="Z51" s="170">
        <f>IF(AND(N51=0.75,($Q51="TRUE")),ABS('Per Diem Calc Tool'!$T51*0.75),IF($Q51="TRUE",ABS('Per Diem Calc Tool'!$T51),""))</f>
      </c>
    </row>
    <row r="52" spans="1:26" ht="15" customHeight="1">
      <c r="A52" s="32">
        <f>IF(M118=TRUE,A51+1,"")</f>
      </c>
      <c r="B52" s="228" t="e">
        <f>#REF!</f>
        <v>#REF!</v>
      </c>
      <c r="C52" s="228" t="e">
        <f>#REF!</f>
        <v>#REF!</v>
      </c>
      <c r="D52" s="228" t="e">
        <f>#REF!</f>
        <v>#REF!</v>
      </c>
      <c r="E52" s="33">
        <f>IF(M118=FALSE,0,+V118)</f>
        <v>0</v>
      </c>
      <c r="F52" s="208"/>
      <c r="G52" s="208"/>
      <c r="H52" s="208"/>
      <c r="I52" s="208"/>
      <c r="J52" s="37"/>
      <c r="K52" s="231" t="str">
        <f t="shared" si="4"/>
        <v>NO</v>
      </c>
      <c r="L52" s="188">
        <v>11</v>
      </c>
      <c r="M52" s="169" t="b">
        <f>+L52&lt;=$O$7</f>
        <v>0</v>
      </c>
      <c r="N52" s="235">
        <f>IF(L52=$O$7,0.75,1)</f>
        <v>1</v>
      </c>
      <c r="O52" s="236" t="e">
        <f>IF(B30="X","TRUE","FALSE")</f>
        <v>#REF!</v>
      </c>
      <c r="P52" s="236" t="e">
        <f>IF(C30="X","TRUE","FALSE")</f>
        <v>#REF!</v>
      </c>
      <c r="Q52" s="236" t="e">
        <f>IF(D30="X","TRUE","FALSE")</f>
        <v>#REF!</v>
      </c>
      <c r="R52" s="237" t="e">
        <f t="shared" si="1"/>
        <v>#REF!</v>
      </c>
      <c r="S52" s="237" t="e">
        <f t="shared" si="2"/>
        <v>#REF!</v>
      </c>
      <c r="T52" s="237" t="e">
        <f t="shared" si="3"/>
        <v>#REF!</v>
      </c>
      <c r="U52" s="238" t="e">
        <f>(VLOOKUP($P$9,Per_diem_table,1)*N52)-SUM((X52,Y52,Z52))</f>
        <v>#REF!</v>
      </c>
      <c r="V52" s="237" t="e">
        <f>IF(U52&lt;5,5,U52)</f>
        <v>#REF!</v>
      </c>
      <c r="X52" s="170" t="e">
        <f>IF(AND(N52=0.75,($O52="TRUE")),ABS('Per Diem Calc Tool'!$R52*0.75),IF($O52="TRUE",ABS('Per Diem Calc Tool'!$R52),""))</f>
        <v>#REF!</v>
      </c>
      <c r="Y52" s="170" t="e">
        <f>IF(AND(N52=0.75,($P52="TRUE")),ABS('Per Diem Calc Tool'!$S52*0.75),IF($P52="TRUE",ABS('Per Diem Calc Tool'!$S52),""))</f>
        <v>#REF!</v>
      </c>
      <c r="Z52" s="170" t="e">
        <f>IF(AND(N52=0.75,($Q52="TRUE")),ABS('Per Diem Calc Tool'!$T52*0.75),IF($Q52="TRUE",ABS('Per Diem Calc Tool'!$T52),""))</f>
        <v>#REF!</v>
      </c>
    </row>
    <row r="53" spans="1:26" ht="15" customHeight="1">
      <c r="A53" s="32">
        <f>IF(M121=TRUE,A52+1,"")</f>
      </c>
      <c r="B53" s="228" t="e">
        <f>#REF!</f>
        <v>#REF!</v>
      </c>
      <c r="C53" s="228" t="e">
        <f>#REF!</f>
        <v>#REF!</v>
      </c>
      <c r="D53" s="228" t="e">
        <f>#REF!</f>
        <v>#REF!</v>
      </c>
      <c r="E53" s="33">
        <f>IF(M121=FALSE,0,+V121)</f>
        <v>0</v>
      </c>
      <c r="F53" s="208"/>
      <c r="G53" s="208"/>
      <c r="H53" s="208"/>
      <c r="I53" s="208"/>
      <c r="J53" s="37"/>
      <c r="K53" s="231" t="str">
        <f t="shared" si="4"/>
        <v>NO</v>
      </c>
      <c r="L53" s="188"/>
      <c r="N53" s="235"/>
      <c r="O53" s="236"/>
      <c r="P53" s="236"/>
      <c r="Q53" s="236"/>
      <c r="R53" s="237">
        <f t="shared" si="1"/>
        <v>0</v>
      </c>
      <c r="S53" s="237">
        <f t="shared" si="2"/>
        <v>0</v>
      </c>
      <c r="T53" s="237">
        <f t="shared" si="3"/>
        <v>0</v>
      </c>
      <c r="U53" s="238" t="e">
        <f>(VLOOKUP($P$9,Per_diem_table,1)*N53)-SUM((X53,Y53,Z53))</f>
        <v>#REF!</v>
      </c>
      <c r="V53" s="237"/>
      <c r="X53" s="170">
        <f>IF(AND(N53=0.75,($O53="TRUE")),ABS('Per Diem Calc Tool'!$R53*0.75),IF($O53="TRUE",ABS('Per Diem Calc Tool'!$R53),""))</f>
      </c>
      <c r="Y53" s="170">
        <f>IF(AND(N53=0.75,($P53="TRUE")),ABS('Per Diem Calc Tool'!$S53*0.75),IF($P53="TRUE",ABS('Per Diem Calc Tool'!$S53),""))</f>
      </c>
      <c r="Z53" s="170">
        <f>IF(AND(N53=0.75,($Q53="TRUE")),ABS('Per Diem Calc Tool'!$T53*0.75),IF($Q53="TRUE",ABS('Per Diem Calc Tool'!$T53),""))</f>
      </c>
    </row>
    <row r="54" spans="1:26" ht="15" customHeight="1">
      <c r="A54" s="32"/>
      <c r="B54" s="228"/>
      <c r="C54" s="228"/>
      <c r="D54" s="228"/>
      <c r="E54" s="33"/>
      <c r="F54" s="208"/>
      <c r="G54" s="208"/>
      <c r="H54" s="208"/>
      <c r="I54" s="208"/>
      <c r="J54" s="37"/>
      <c r="K54" s="231" t="str">
        <f t="shared" si="4"/>
        <v>NO</v>
      </c>
      <c r="L54" s="188"/>
      <c r="N54" s="235"/>
      <c r="O54" s="236"/>
      <c r="P54" s="236"/>
      <c r="Q54" s="236"/>
      <c r="R54" s="237">
        <f t="shared" si="1"/>
        <v>0</v>
      </c>
      <c r="S54" s="237">
        <f t="shared" si="2"/>
        <v>0</v>
      </c>
      <c r="T54" s="237">
        <f t="shared" si="3"/>
        <v>0</v>
      </c>
      <c r="U54" s="238" t="e">
        <f>(VLOOKUP($P$9,Per_diem_table,1)*N54)-SUM((X54,Y54,Z54))</f>
        <v>#REF!</v>
      </c>
      <c r="V54" s="237"/>
      <c r="X54" s="170">
        <f>IF(AND(N54=0.75,($O54="TRUE")),ABS('Per Diem Calc Tool'!$R54*0.75),IF($O54="TRUE",ABS('Per Diem Calc Tool'!$R54),""))</f>
      </c>
      <c r="Y54" s="170">
        <f>IF(AND(N54=0.75,($P54="TRUE")),ABS('Per Diem Calc Tool'!$S54*0.75),IF($P54="TRUE",ABS('Per Diem Calc Tool'!$S54),""))</f>
      </c>
      <c r="Z54" s="170">
        <f>IF(AND(N54=0.75,($Q54="TRUE")),ABS('Per Diem Calc Tool'!$T54*0.75),IF($Q54="TRUE",ABS('Per Diem Calc Tool'!$T54),""))</f>
      </c>
    </row>
    <row r="55" spans="1:26" ht="15" customHeight="1">
      <c r="A55" s="32"/>
      <c r="B55" s="228"/>
      <c r="C55" s="228"/>
      <c r="D55" s="228"/>
      <c r="E55" s="33"/>
      <c r="F55" s="208"/>
      <c r="G55" s="208"/>
      <c r="H55" s="208"/>
      <c r="I55" s="208"/>
      <c r="J55" s="37"/>
      <c r="K55" s="231" t="str">
        <f t="shared" si="4"/>
        <v>NO</v>
      </c>
      <c r="L55" s="188">
        <v>12</v>
      </c>
      <c r="M55" s="169" t="b">
        <f>+L55&lt;=$O$7</f>
        <v>0</v>
      </c>
      <c r="N55" s="235">
        <f>IF(L55=$O$7,0.75,1)</f>
        <v>1</v>
      </c>
      <c r="O55" s="236" t="e">
        <f>IF(B31="X","TRUE","FALSE")</f>
        <v>#REF!</v>
      </c>
      <c r="P55" s="236" t="e">
        <f>IF(C31="X","TRUE","FALSE")</f>
        <v>#REF!</v>
      </c>
      <c r="Q55" s="236" t="e">
        <f>IF(D31="X","TRUE","FALSE")</f>
        <v>#REF!</v>
      </c>
      <c r="R55" s="237" t="e">
        <f t="shared" si="1"/>
        <v>#REF!</v>
      </c>
      <c r="S55" s="237" t="e">
        <f t="shared" si="2"/>
        <v>#REF!</v>
      </c>
      <c r="T55" s="237" t="e">
        <f t="shared" si="3"/>
        <v>#REF!</v>
      </c>
      <c r="U55" s="238" t="e">
        <f>(VLOOKUP($P$9,Per_diem_table,1)*N55)-SUM((X55,Y55,Z55))</f>
        <v>#REF!</v>
      </c>
      <c r="V55" s="237" t="e">
        <f>IF(U55&lt;5,5,U55)</f>
        <v>#REF!</v>
      </c>
      <c r="X55" s="170" t="e">
        <f>IF(AND(N55=0.75,($O55="TRUE")),ABS('Per Diem Calc Tool'!$R55*0.75),IF($O55="TRUE",ABS('Per Diem Calc Tool'!$R55),""))</f>
        <v>#REF!</v>
      </c>
      <c r="Y55" s="170" t="e">
        <f>IF(AND(N55=0.75,($P55="TRUE")),ABS('Per Diem Calc Tool'!$S55*0.75),IF($P55="TRUE",ABS('Per Diem Calc Tool'!$S55),""))</f>
        <v>#REF!</v>
      </c>
      <c r="Z55" s="170" t="e">
        <f>IF(AND(N55=0.75,($Q55="TRUE")),ABS('Per Diem Calc Tool'!$T55*0.75),IF($Q55="TRUE",ABS('Per Diem Calc Tool'!$T55),""))</f>
        <v>#REF!</v>
      </c>
    </row>
    <row r="56" spans="1:26" ht="15" customHeight="1">
      <c r="A56" s="32"/>
      <c r="B56" s="228"/>
      <c r="C56" s="228"/>
      <c r="D56" s="228"/>
      <c r="E56" s="33"/>
      <c r="F56" s="208"/>
      <c r="G56" s="208"/>
      <c r="H56" s="208"/>
      <c r="I56" s="208"/>
      <c r="J56" s="37"/>
      <c r="K56" s="231" t="str">
        <f t="shared" si="4"/>
        <v>NO</v>
      </c>
      <c r="L56" s="188"/>
      <c r="N56" s="235"/>
      <c r="O56" s="236"/>
      <c r="P56" s="236"/>
      <c r="Q56" s="236"/>
      <c r="R56" s="237">
        <f t="shared" si="1"/>
        <v>0</v>
      </c>
      <c r="S56" s="237">
        <f t="shared" si="2"/>
        <v>0</v>
      </c>
      <c r="T56" s="237">
        <f t="shared" si="3"/>
        <v>0</v>
      </c>
      <c r="U56" s="238" t="e">
        <f>(VLOOKUP($P$9,Per_diem_table,1)*N56)-SUM((X56,Y56,Z56))</f>
        <v>#REF!</v>
      </c>
      <c r="V56" s="237"/>
      <c r="X56" s="170">
        <f>IF(AND(N56=0.75,($O56="TRUE")),ABS('Per Diem Calc Tool'!$R56*0.75),IF($O56="TRUE",ABS('Per Diem Calc Tool'!$R56),""))</f>
      </c>
      <c r="Y56" s="170">
        <f>IF(AND(N56=0.75,($P56="TRUE")),ABS('Per Diem Calc Tool'!$S56*0.75),IF($P56="TRUE",ABS('Per Diem Calc Tool'!$S56),""))</f>
      </c>
      <c r="Z56" s="170">
        <f>IF(AND(N56=0.75,($Q56="TRUE")),ABS('Per Diem Calc Tool'!$T56*0.75),IF($Q56="TRUE",ABS('Per Diem Calc Tool'!$T56),""))</f>
      </c>
    </row>
    <row r="57" spans="1:26" ht="15" customHeight="1">
      <c r="A57" s="32"/>
      <c r="B57" s="228"/>
      <c r="C57" s="228"/>
      <c r="D57" s="228"/>
      <c r="E57" s="33"/>
      <c r="F57" s="208"/>
      <c r="G57" s="208"/>
      <c r="H57" s="208"/>
      <c r="I57" s="208"/>
      <c r="J57" s="37"/>
      <c r="K57" s="231" t="str">
        <f t="shared" si="4"/>
        <v>NO</v>
      </c>
      <c r="L57" s="188"/>
      <c r="N57" s="235"/>
      <c r="O57" s="236"/>
      <c r="P57" s="236"/>
      <c r="Q57" s="236"/>
      <c r="R57" s="237">
        <f t="shared" si="1"/>
        <v>0</v>
      </c>
      <c r="S57" s="237">
        <f t="shared" si="2"/>
        <v>0</v>
      </c>
      <c r="T57" s="237">
        <f t="shared" si="3"/>
        <v>0</v>
      </c>
      <c r="U57" s="238" t="e">
        <f>(VLOOKUP($P$9,Per_diem_table,1)*N57)-SUM((X57,Y57,Z57))</f>
        <v>#REF!</v>
      </c>
      <c r="V57" s="237"/>
      <c r="X57" s="170">
        <f>IF(AND(N57=0.75,($O57="TRUE")),ABS('Per Diem Calc Tool'!$R57*0.75),IF($O57="TRUE",ABS('Per Diem Calc Tool'!$R57),""))</f>
      </c>
      <c r="Y57" s="170">
        <f>IF(AND(N57=0.75,($P57="TRUE")),ABS('Per Diem Calc Tool'!$S57*0.75),IF($P57="TRUE",ABS('Per Diem Calc Tool'!$S57),""))</f>
      </c>
      <c r="Z57" s="170">
        <f>IF(AND(N57=0.75,($Q57="TRUE")),ABS('Per Diem Calc Tool'!$T57*0.75),IF($Q57="TRUE",ABS('Per Diem Calc Tool'!$T57),""))</f>
      </c>
    </row>
    <row r="58" spans="1:26" ht="15" customHeight="1">
      <c r="A58" s="32"/>
      <c r="B58" s="228"/>
      <c r="C58" s="228"/>
      <c r="D58" s="228"/>
      <c r="E58" s="33"/>
      <c r="F58" s="208"/>
      <c r="G58" s="208"/>
      <c r="H58" s="208"/>
      <c r="I58" s="208"/>
      <c r="J58" s="37"/>
      <c r="K58" s="231" t="str">
        <f t="shared" si="4"/>
        <v>NO</v>
      </c>
      <c r="L58" s="188">
        <v>13</v>
      </c>
      <c r="M58" s="169" t="b">
        <f>+L58&lt;=$O$7</f>
        <v>0</v>
      </c>
      <c r="N58" s="235">
        <f>IF(L58=$O$7,0.75,1)</f>
        <v>1</v>
      </c>
      <c r="O58" s="236" t="e">
        <f>IF(B32="X","TRUE","FALSE")</f>
        <v>#REF!</v>
      </c>
      <c r="P58" s="236" t="e">
        <f>IF(C32="X","TRUE","FALSE")</f>
        <v>#REF!</v>
      </c>
      <c r="Q58" s="236" t="e">
        <f>IF(D32="X","TRUE","FALSE")</f>
        <v>#REF!</v>
      </c>
      <c r="R58" s="237" t="e">
        <f t="shared" si="1"/>
        <v>#REF!</v>
      </c>
      <c r="S58" s="237" t="e">
        <f t="shared" si="2"/>
        <v>#REF!</v>
      </c>
      <c r="T58" s="237" t="e">
        <f t="shared" si="3"/>
        <v>#REF!</v>
      </c>
      <c r="U58" s="238" t="e">
        <f>(VLOOKUP($P$9,Per_diem_table,1)*N58)-SUM((X58,Y58,Z58))</f>
        <v>#REF!</v>
      </c>
      <c r="V58" s="237" t="e">
        <f>IF(U58&lt;5,5,U58)</f>
        <v>#REF!</v>
      </c>
      <c r="X58" s="170" t="e">
        <f>IF(AND(N58=0.75,($O58="TRUE")),ABS('Per Diem Calc Tool'!$R58*0.75),IF($O58="TRUE",ABS('Per Diem Calc Tool'!$R58),""))</f>
        <v>#REF!</v>
      </c>
      <c r="Y58" s="170" t="e">
        <f>IF(AND(N58=0.75,($P58="TRUE")),ABS('Per Diem Calc Tool'!$S58*0.75),IF($P58="TRUE",ABS('Per Diem Calc Tool'!$S58),""))</f>
        <v>#REF!</v>
      </c>
      <c r="Z58" s="170" t="e">
        <f>IF(AND(N58=0.75,($Q58="TRUE")),ABS('Per Diem Calc Tool'!$T58*0.75),IF($Q58="TRUE",ABS('Per Diem Calc Tool'!$T58),""))</f>
        <v>#REF!</v>
      </c>
    </row>
    <row r="59" spans="1:26" ht="15" customHeight="1">
      <c r="A59" s="32"/>
      <c r="B59" s="228"/>
      <c r="C59" s="228"/>
      <c r="D59" s="228"/>
      <c r="E59" s="33"/>
      <c r="F59" s="208"/>
      <c r="G59" s="208"/>
      <c r="H59" s="208"/>
      <c r="I59" s="208"/>
      <c r="J59" s="37"/>
      <c r="K59" s="231" t="str">
        <f t="shared" si="4"/>
        <v>NO</v>
      </c>
      <c r="L59" s="188"/>
      <c r="N59" s="235"/>
      <c r="O59" s="236"/>
      <c r="P59" s="236"/>
      <c r="Q59" s="236"/>
      <c r="R59" s="237">
        <f t="shared" si="1"/>
        <v>0</v>
      </c>
      <c r="S59" s="237">
        <f t="shared" si="2"/>
        <v>0</v>
      </c>
      <c r="T59" s="237">
        <f t="shared" si="3"/>
        <v>0</v>
      </c>
      <c r="U59" s="238" t="e">
        <f>(VLOOKUP($P$9,Per_diem_table,1)*N59)-SUM((X59,Y59,Z59))</f>
        <v>#REF!</v>
      </c>
      <c r="V59" s="237"/>
      <c r="X59" s="170">
        <f>IF(AND(N59=0.75,($O59="TRUE")),ABS('Per Diem Calc Tool'!$R59*0.75),IF($O59="TRUE",ABS('Per Diem Calc Tool'!$R59),""))</f>
      </c>
      <c r="Y59" s="170">
        <f>IF(AND(N59=0.75,($P59="TRUE")),ABS('Per Diem Calc Tool'!$S59*0.75),IF($P59="TRUE",ABS('Per Diem Calc Tool'!$S59),""))</f>
      </c>
      <c r="Z59" s="170">
        <f>IF(AND(N59=0.75,($Q59="TRUE")),ABS('Per Diem Calc Tool'!$T59*0.75),IF($Q59="TRUE",ABS('Per Diem Calc Tool'!$T59),""))</f>
      </c>
    </row>
    <row r="60" spans="1:26" ht="15" customHeight="1">
      <c r="A60" s="32"/>
      <c r="B60" s="228"/>
      <c r="C60" s="228"/>
      <c r="D60" s="228"/>
      <c r="E60" s="33"/>
      <c r="F60" s="208"/>
      <c r="G60" s="208"/>
      <c r="H60" s="208"/>
      <c r="I60" s="208"/>
      <c r="J60" s="37"/>
      <c r="K60" s="231" t="str">
        <f t="shared" si="4"/>
        <v>NO</v>
      </c>
      <c r="L60" s="188"/>
      <c r="N60" s="235"/>
      <c r="O60" s="236"/>
      <c r="P60" s="236"/>
      <c r="Q60" s="236"/>
      <c r="R60" s="237">
        <f t="shared" si="1"/>
        <v>0</v>
      </c>
      <c r="S60" s="237">
        <f t="shared" si="2"/>
        <v>0</v>
      </c>
      <c r="T60" s="237">
        <f t="shared" si="3"/>
        <v>0</v>
      </c>
      <c r="U60" s="238" t="e">
        <f>(VLOOKUP($P$9,Per_diem_table,1)*N60)-SUM((X60,Y60,Z60))</f>
        <v>#REF!</v>
      </c>
      <c r="V60" s="237"/>
      <c r="X60" s="170">
        <f>IF(AND(N60=0.75,($O60="TRUE")),ABS('Per Diem Calc Tool'!$R60*0.75),IF($O60="TRUE",ABS('Per Diem Calc Tool'!$R60),""))</f>
      </c>
      <c r="Y60" s="170">
        <f>IF(AND(N60=0.75,($P60="TRUE")),ABS('Per Diem Calc Tool'!$S60*0.75),IF($P60="TRUE",ABS('Per Diem Calc Tool'!$S60),""))</f>
      </c>
      <c r="Z60" s="170">
        <f>IF(AND(N60=0.75,($Q60="TRUE")),ABS('Per Diem Calc Tool'!$T60*0.75),IF($Q60="TRUE",ABS('Per Diem Calc Tool'!$T60),""))</f>
      </c>
    </row>
    <row r="61" spans="1:26" ht="15" customHeight="1">
      <c r="A61" s="32"/>
      <c r="B61" s="228"/>
      <c r="C61" s="228"/>
      <c r="D61" s="228"/>
      <c r="E61" s="33"/>
      <c r="F61" s="208"/>
      <c r="G61" s="208"/>
      <c r="H61" s="208"/>
      <c r="I61" s="208"/>
      <c r="J61" s="37"/>
      <c r="K61" s="231" t="str">
        <f t="shared" si="4"/>
        <v>NO</v>
      </c>
      <c r="L61" s="188">
        <v>14</v>
      </c>
      <c r="M61" s="169" t="b">
        <f>+L61&lt;=$O$7</f>
        <v>0</v>
      </c>
      <c r="N61" s="235">
        <f>IF(L61=$O$7,0.75,1)</f>
        <v>1</v>
      </c>
      <c r="O61" s="236" t="e">
        <f>IF(B33="X","TRUE","FALSE")</f>
        <v>#REF!</v>
      </c>
      <c r="P61" s="236" t="e">
        <f>IF(C33="X","TRUE","FALSE")</f>
        <v>#REF!</v>
      </c>
      <c r="Q61" s="236" t="e">
        <f>IF(D33="X","TRUE","FALSE")</f>
        <v>#REF!</v>
      </c>
      <c r="R61" s="237" t="e">
        <f t="shared" si="1"/>
        <v>#REF!</v>
      </c>
      <c r="S61" s="237" t="e">
        <f t="shared" si="2"/>
        <v>#REF!</v>
      </c>
      <c r="T61" s="237" t="e">
        <f t="shared" si="3"/>
        <v>#REF!</v>
      </c>
      <c r="U61" s="238" t="e">
        <f>(VLOOKUP($P$9,Per_diem_table,1)*N61)-SUM((X61,Y61,Z61))</f>
        <v>#REF!</v>
      </c>
      <c r="V61" s="237" t="e">
        <f>IF(U61&lt;5,5,U61)</f>
        <v>#REF!</v>
      </c>
      <c r="X61" s="170" t="e">
        <f>IF(AND(N61=0.75,($O61="TRUE")),ABS('Per Diem Calc Tool'!$R61*0.75),IF($O61="TRUE",ABS('Per Diem Calc Tool'!$R61),""))</f>
        <v>#REF!</v>
      </c>
      <c r="Y61" s="170" t="e">
        <f>IF(AND(N61=0.75,($P61="TRUE")),ABS('Per Diem Calc Tool'!$S61*0.75),IF($P61="TRUE",ABS('Per Diem Calc Tool'!$S61),""))</f>
        <v>#REF!</v>
      </c>
      <c r="Z61" s="170" t="e">
        <f>IF(AND(N61=0.75,($Q61="TRUE")),ABS('Per Diem Calc Tool'!$T61*0.75),IF($Q61="TRUE",ABS('Per Diem Calc Tool'!$T61),""))</f>
        <v>#REF!</v>
      </c>
    </row>
    <row r="62" spans="1:26" ht="15" customHeight="1">
      <c r="A62" s="32"/>
      <c r="B62" s="228"/>
      <c r="C62" s="228"/>
      <c r="D62" s="228"/>
      <c r="E62" s="33"/>
      <c r="F62" s="208"/>
      <c r="G62" s="208"/>
      <c r="H62" s="208"/>
      <c r="I62" s="208"/>
      <c r="J62" s="37"/>
      <c r="K62" s="231" t="str">
        <f t="shared" si="4"/>
        <v>NO</v>
      </c>
      <c r="L62" s="188"/>
      <c r="N62" s="235"/>
      <c r="O62" s="236"/>
      <c r="P62" s="236"/>
      <c r="Q62" s="236"/>
      <c r="R62" s="237">
        <f t="shared" si="1"/>
        <v>0</v>
      </c>
      <c r="S62" s="237">
        <f t="shared" si="2"/>
        <v>0</v>
      </c>
      <c r="T62" s="237">
        <f t="shared" si="3"/>
        <v>0</v>
      </c>
      <c r="U62" s="238" t="e">
        <f>(VLOOKUP($P$9,Per_diem_table,1)*N62)-SUM((X62,Y62,Z62))</f>
        <v>#REF!</v>
      </c>
      <c r="V62" s="237"/>
      <c r="X62" s="170">
        <f>IF(AND(N62=0.75,($O62="TRUE")),ABS('Per Diem Calc Tool'!$R62*0.75),IF($O62="TRUE",ABS('Per Diem Calc Tool'!$R62),""))</f>
      </c>
      <c r="Y62" s="170">
        <f>IF(AND(N62=0.75,($P62="TRUE")),ABS('Per Diem Calc Tool'!$S62*0.75),IF($P62="TRUE",ABS('Per Diem Calc Tool'!$S62),""))</f>
      </c>
      <c r="Z62" s="170">
        <f>IF(AND(N62=0.75,($Q62="TRUE")),ABS('Per Diem Calc Tool'!$T62*0.75),IF($Q62="TRUE",ABS('Per Diem Calc Tool'!$T62),""))</f>
      </c>
    </row>
    <row r="63" spans="1:26" ht="15" customHeight="1">
      <c r="A63" s="32"/>
      <c r="B63" s="228"/>
      <c r="C63" s="228"/>
      <c r="D63" s="228"/>
      <c r="E63" s="33"/>
      <c r="F63" s="208"/>
      <c r="G63" s="208"/>
      <c r="H63" s="208"/>
      <c r="I63" s="208"/>
      <c r="J63" s="37"/>
      <c r="K63" s="231" t="str">
        <f t="shared" si="4"/>
        <v>NO</v>
      </c>
      <c r="L63" s="188"/>
      <c r="N63" s="235"/>
      <c r="O63" s="236"/>
      <c r="P63" s="236"/>
      <c r="Q63" s="236"/>
      <c r="R63" s="237">
        <f t="shared" si="1"/>
        <v>0</v>
      </c>
      <c r="S63" s="237">
        <f t="shared" si="2"/>
        <v>0</v>
      </c>
      <c r="T63" s="237">
        <f t="shared" si="3"/>
        <v>0</v>
      </c>
      <c r="U63" s="238" t="e">
        <f>(VLOOKUP($P$9,Per_diem_table,1)*N63)-SUM((X63,Y63,Z63))</f>
        <v>#REF!</v>
      </c>
      <c r="V63" s="237"/>
      <c r="X63" s="170">
        <f>IF(AND(N63=0.75,($O63="TRUE")),ABS('Per Diem Calc Tool'!$R63*0.75),IF($O63="TRUE",ABS('Per Diem Calc Tool'!$R63),""))</f>
      </c>
      <c r="Y63" s="170">
        <f>IF(AND(N63=0.75,($P63="TRUE")),ABS('Per Diem Calc Tool'!$S63*0.75),IF($P63="TRUE",ABS('Per Diem Calc Tool'!$S63),""))</f>
      </c>
      <c r="Z63" s="170">
        <f>IF(AND(N63=0.75,($Q63="TRUE")),ABS('Per Diem Calc Tool'!$T63*0.75),IF($Q63="TRUE",ABS('Per Diem Calc Tool'!$T63),""))</f>
      </c>
    </row>
    <row r="64" spans="1:26" ht="15" customHeight="1">
      <c r="A64" s="32"/>
      <c r="B64" s="228"/>
      <c r="C64" s="228"/>
      <c r="D64" s="228"/>
      <c r="E64" s="33"/>
      <c r="F64" s="208"/>
      <c r="G64" s="208"/>
      <c r="H64" s="208"/>
      <c r="I64" s="208"/>
      <c r="J64" s="37"/>
      <c r="K64" s="231" t="str">
        <f t="shared" si="4"/>
        <v>NO</v>
      </c>
      <c r="L64" s="188">
        <v>15</v>
      </c>
      <c r="M64" s="169" t="b">
        <f>+L64&lt;=$O$7</f>
        <v>0</v>
      </c>
      <c r="N64" s="235">
        <f>IF(L64=$O$7,0.75,1)</f>
        <v>1</v>
      </c>
      <c r="O64" s="236" t="e">
        <f>IF(B34="X","TRUE","FALSE")</f>
        <v>#REF!</v>
      </c>
      <c r="P64" s="236" t="e">
        <f>IF(C34="X","TRUE","FALSE")</f>
        <v>#REF!</v>
      </c>
      <c r="Q64" s="236" t="e">
        <f>IF(D34="X","TRUE","FALSE")</f>
        <v>#REF!</v>
      </c>
      <c r="R64" s="237" t="e">
        <f t="shared" si="1"/>
        <v>#REF!</v>
      </c>
      <c r="S64" s="237" t="e">
        <f t="shared" si="2"/>
        <v>#REF!</v>
      </c>
      <c r="T64" s="237" t="e">
        <f t="shared" si="3"/>
        <v>#REF!</v>
      </c>
      <c r="U64" s="238" t="e">
        <f>(VLOOKUP($P$9,Per_diem_table,1)*N64)-SUM((X64,Y64,Z64))</f>
        <v>#REF!</v>
      </c>
      <c r="V64" s="237" t="e">
        <f>IF(U64&lt;5,5,U64)</f>
        <v>#REF!</v>
      </c>
      <c r="X64" s="170" t="e">
        <f>IF(AND(N64=0.75,($O64="TRUE")),ABS('Per Diem Calc Tool'!$R64*0.75),IF($O64="TRUE",ABS('Per Diem Calc Tool'!$R64),""))</f>
        <v>#REF!</v>
      </c>
      <c r="Y64" s="170" t="e">
        <f>IF(AND(N64=0.75,($P64="TRUE")),ABS('Per Diem Calc Tool'!$S64*0.75),IF($P64="TRUE",ABS('Per Diem Calc Tool'!$S64),""))</f>
        <v>#REF!</v>
      </c>
      <c r="Z64" s="170" t="e">
        <f>IF(AND(N64=0.75,($Q64="TRUE")),ABS('Per Diem Calc Tool'!$T64*0.75),IF($Q64="TRUE",ABS('Per Diem Calc Tool'!$T64),""))</f>
        <v>#REF!</v>
      </c>
    </row>
    <row r="65" spans="1:26" ht="15" customHeight="1">
      <c r="A65" s="32"/>
      <c r="B65" s="228"/>
      <c r="C65" s="228"/>
      <c r="D65" s="228"/>
      <c r="E65" s="33"/>
      <c r="F65" s="208"/>
      <c r="G65" s="208"/>
      <c r="H65" s="208"/>
      <c r="I65" s="208"/>
      <c r="J65" s="37"/>
      <c r="K65" s="231" t="str">
        <f t="shared" si="4"/>
        <v>NO</v>
      </c>
      <c r="L65" s="188"/>
      <c r="N65" s="235"/>
      <c r="O65" s="236"/>
      <c r="P65" s="236"/>
      <c r="Q65" s="236"/>
      <c r="R65" s="237">
        <f t="shared" si="1"/>
        <v>0</v>
      </c>
      <c r="S65" s="237">
        <f t="shared" si="2"/>
        <v>0</v>
      </c>
      <c r="T65" s="237">
        <f t="shared" si="3"/>
        <v>0</v>
      </c>
      <c r="U65" s="238" t="e">
        <f>(VLOOKUP($P$9,Per_diem_table,1)*N65)-SUM((X65,Y65,Z65))</f>
        <v>#REF!</v>
      </c>
      <c r="V65" s="237"/>
      <c r="X65" s="170">
        <f>IF(AND(N65=0.75,($O65="TRUE")),ABS('Per Diem Calc Tool'!$R65*0.75),IF($O65="TRUE",ABS('Per Diem Calc Tool'!$R65),""))</f>
      </c>
      <c r="Y65" s="170">
        <f>IF(AND(N65=0.75,($P65="TRUE")),ABS('Per Diem Calc Tool'!$S65*0.75),IF($P65="TRUE",ABS('Per Diem Calc Tool'!$S65),""))</f>
      </c>
      <c r="Z65" s="170">
        <f>IF(AND(N65=0.75,($Q65="TRUE")),ABS('Per Diem Calc Tool'!$T65*0.75),IF($Q65="TRUE",ABS('Per Diem Calc Tool'!$T65),""))</f>
      </c>
    </row>
    <row r="66" spans="1:26" ht="15" customHeight="1">
      <c r="A66" s="32"/>
      <c r="B66" s="228"/>
      <c r="C66" s="228"/>
      <c r="D66" s="228"/>
      <c r="E66" s="33"/>
      <c r="F66" s="208"/>
      <c r="G66" s="208"/>
      <c r="H66" s="208"/>
      <c r="I66" s="208"/>
      <c r="J66" s="37"/>
      <c r="K66" s="231" t="str">
        <f t="shared" si="4"/>
        <v>NO</v>
      </c>
      <c r="L66" s="188"/>
      <c r="N66" s="235"/>
      <c r="O66" s="236"/>
      <c r="P66" s="236"/>
      <c r="Q66" s="236"/>
      <c r="R66" s="237">
        <f t="shared" si="1"/>
        <v>0</v>
      </c>
      <c r="S66" s="237">
        <f t="shared" si="2"/>
        <v>0</v>
      </c>
      <c r="T66" s="237">
        <f t="shared" si="3"/>
        <v>0</v>
      </c>
      <c r="U66" s="238" t="e">
        <f>(VLOOKUP($P$9,Per_diem_table,1)*N66)-SUM((X66,Y66,Z66))</f>
        <v>#REF!</v>
      </c>
      <c r="V66" s="237"/>
      <c r="X66" s="170">
        <f>IF(AND(N66=0.75,($O66="TRUE")),ABS('Per Diem Calc Tool'!$R66*0.75),IF($O66="TRUE",ABS('Per Diem Calc Tool'!$R66),""))</f>
      </c>
      <c r="Y66" s="170">
        <f>IF(AND(N66=0.75,($P66="TRUE")),ABS('Per Diem Calc Tool'!$S66*0.75),IF($P66="TRUE",ABS('Per Diem Calc Tool'!$S66),""))</f>
      </c>
      <c r="Z66" s="170">
        <f>IF(AND(N66=0.75,($Q66="TRUE")),ABS('Per Diem Calc Tool'!$T66*0.75),IF($Q66="TRUE",ABS('Per Diem Calc Tool'!$T66),""))</f>
      </c>
    </row>
    <row r="67" spans="1:26" ht="15" customHeight="1">
      <c r="A67" s="32"/>
      <c r="B67" s="228"/>
      <c r="C67" s="228"/>
      <c r="D67" s="228"/>
      <c r="E67" s="33"/>
      <c r="F67" s="208"/>
      <c r="G67" s="208"/>
      <c r="H67" s="208"/>
      <c r="I67" s="208"/>
      <c r="J67" s="37"/>
      <c r="K67" s="231" t="str">
        <f t="shared" si="4"/>
        <v>NO</v>
      </c>
      <c r="L67" s="188">
        <v>16</v>
      </c>
      <c r="M67" s="169" t="b">
        <f>+L67&lt;=$O$7</f>
        <v>0</v>
      </c>
      <c r="N67" s="235">
        <f>IF(L67=$O$7,0.75,1)</f>
        <v>1</v>
      </c>
      <c r="O67" s="236" t="e">
        <f>IF(B35="X","TRUE","FALSE")</f>
        <v>#REF!</v>
      </c>
      <c r="P67" s="236" t="e">
        <f>IF(C35="X","TRUE","FALSE")</f>
        <v>#REF!</v>
      </c>
      <c r="Q67" s="236" t="e">
        <f>IF(D35="X","TRUE","FALSE")</f>
        <v>#REF!</v>
      </c>
      <c r="R67" s="237" t="e">
        <f t="shared" si="1"/>
        <v>#REF!</v>
      </c>
      <c r="S67" s="237" t="e">
        <f t="shared" si="2"/>
        <v>#REF!</v>
      </c>
      <c r="T67" s="237" t="e">
        <f t="shared" si="3"/>
        <v>#REF!</v>
      </c>
      <c r="U67" s="238" t="e">
        <f>(VLOOKUP($P$9,Per_diem_table,1)*N67)-SUM((X67,Y67,Z67))</f>
        <v>#REF!</v>
      </c>
      <c r="V67" s="237" t="e">
        <f>IF(U67&lt;5,5,U67)</f>
        <v>#REF!</v>
      </c>
      <c r="X67" s="170" t="e">
        <f>IF(AND(N67=0.75,($O67="TRUE")),ABS('Per Diem Calc Tool'!$R67*0.75),IF($O67="TRUE",ABS('Per Diem Calc Tool'!$R67),""))</f>
        <v>#REF!</v>
      </c>
      <c r="Y67" s="170" t="e">
        <f>IF(AND(N67=0.75,($P67="TRUE")),ABS('Per Diem Calc Tool'!$S67*0.75),IF($P67="TRUE",ABS('Per Diem Calc Tool'!$S67),""))</f>
        <v>#REF!</v>
      </c>
      <c r="Z67" s="170" t="e">
        <f>IF(AND(N67=0.75,($Q67="TRUE")),ABS('Per Diem Calc Tool'!$T67*0.75),IF($Q67="TRUE",ABS('Per Diem Calc Tool'!$T67),""))</f>
        <v>#REF!</v>
      </c>
    </row>
    <row r="68" spans="1:26" ht="15" customHeight="1">
      <c r="A68" s="32"/>
      <c r="B68" s="228"/>
      <c r="C68" s="228"/>
      <c r="D68" s="228"/>
      <c r="E68" s="33"/>
      <c r="F68" s="208"/>
      <c r="G68" s="208"/>
      <c r="H68" s="208"/>
      <c r="I68" s="208"/>
      <c r="J68" s="37"/>
      <c r="K68" s="231" t="str">
        <f t="shared" si="4"/>
        <v>NO</v>
      </c>
      <c r="L68" s="188"/>
      <c r="N68" s="235"/>
      <c r="O68" s="236"/>
      <c r="P68" s="236"/>
      <c r="Q68" s="236"/>
      <c r="R68" s="237">
        <f t="shared" si="1"/>
        <v>0</v>
      </c>
      <c r="S68" s="237">
        <f t="shared" si="2"/>
        <v>0</v>
      </c>
      <c r="T68" s="237">
        <f t="shared" si="3"/>
        <v>0</v>
      </c>
      <c r="U68" s="238" t="e">
        <f>(VLOOKUP($P$9,Per_diem_table,1)*N68)-SUM((X68,Y68,Z68))</f>
        <v>#REF!</v>
      </c>
      <c r="V68" s="237"/>
      <c r="X68" s="170">
        <f>IF(AND(N68=0.75,($O68="TRUE")),ABS('Per Diem Calc Tool'!$R68*0.75),IF($O68="TRUE",ABS('Per Diem Calc Tool'!$R68),""))</f>
      </c>
      <c r="Y68" s="170">
        <f>IF(AND(N68=0.75,($P68="TRUE")),ABS('Per Diem Calc Tool'!$S68*0.75),IF($P68="TRUE",ABS('Per Diem Calc Tool'!$S68),""))</f>
      </c>
      <c r="Z68" s="170">
        <f>IF(AND(N68=0.75,($Q68="TRUE")),ABS('Per Diem Calc Tool'!$T68*0.75),IF($Q68="TRUE",ABS('Per Diem Calc Tool'!$T68),""))</f>
      </c>
    </row>
    <row r="69" spans="1:26" ht="15" customHeight="1">
      <c r="A69" s="32"/>
      <c r="B69" s="228"/>
      <c r="C69" s="228"/>
      <c r="D69" s="228"/>
      <c r="E69" s="33"/>
      <c r="F69" s="208"/>
      <c r="G69" s="208"/>
      <c r="H69" s="208"/>
      <c r="I69" s="208"/>
      <c r="J69" s="37"/>
      <c r="K69" s="231" t="str">
        <f t="shared" si="4"/>
        <v>NO</v>
      </c>
      <c r="L69" s="188"/>
      <c r="N69" s="235"/>
      <c r="O69" s="236"/>
      <c r="P69" s="236"/>
      <c r="Q69" s="236"/>
      <c r="R69" s="237">
        <f t="shared" si="1"/>
        <v>0</v>
      </c>
      <c r="S69" s="237">
        <f t="shared" si="2"/>
        <v>0</v>
      </c>
      <c r="T69" s="237">
        <f t="shared" si="3"/>
        <v>0</v>
      </c>
      <c r="U69" s="238" t="e">
        <f>(VLOOKUP($P$9,Per_diem_table,1)*N69)-SUM((X69,Y69,Z69))</f>
        <v>#REF!</v>
      </c>
      <c r="V69" s="237"/>
      <c r="X69" s="170">
        <f>IF(AND(N69=0.75,($O69="TRUE")),ABS('Per Diem Calc Tool'!$R69*0.75),IF($O69="TRUE",ABS('Per Diem Calc Tool'!$R69),""))</f>
      </c>
      <c r="Y69" s="170">
        <f>IF(AND(N69=0.75,($P69="TRUE")),ABS('Per Diem Calc Tool'!$S69*0.75),IF($P69="TRUE",ABS('Per Diem Calc Tool'!$S69),""))</f>
      </c>
      <c r="Z69" s="170">
        <f>IF(AND(N69=0.75,($Q69="TRUE")),ABS('Per Diem Calc Tool'!$T69*0.75),IF($Q69="TRUE",ABS('Per Diem Calc Tool'!$T69),""))</f>
      </c>
    </row>
    <row r="70" spans="1:26" ht="15" customHeight="1">
      <c r="A70" s="32"/>
      <c r="B70" s="228"/>
      <c r="C70" s="228"/>
      <c r="D70" s="228"/>
      <c r="E70" s="33"/>
      <c r="F70" s="208"/>
      <c r="G70" s="208"/>
      <c r="H70" s="208"/>
      <c r="I70" s="208"/>
      <c r="J70" s="37"/>
      <c r="K70" s="231" t="str">
        <f t="shared" si="4"/>
        <v>NO</v>
      </c>
      <c r="L70" s="188">
        <v>17</v>
      </c>
      <c r="M70" s="169" t="b">
        <f>+L70&lt;=$O$7</f>
        <v>0</v>
      </c>
      <c r="N70" s="235">
        <f>IF(L70=$O$7,0.75,1)</f>
        <v>1</v>
      </c>
      <c r="O70" s="236" t="e">
        <f>IF(B36="X","TRUE","FALSE")</f>
        <v>#REF!</v>
      </c>
      <c r="P70" s="236" t="e">
        <f>IF(C36="X","TRUE","FALSE")</f>
        <v>#REF!</v>
      </c>
      <c r="Q70" s="236" t="e">
        <f>IF(D36="X","TRUE","FALSE")</f>
        <v>#REF!</v>
      </c>
      <c r="R70" s="237" t="e">
        <f t="shared" si="1"/>
        <v>#REF!</v>
      </c>
      <c r="S70" s="237" t="e">
        <f t="shared" si="2"/>
        <v>#REF!</v>
      </c>
      <c r="T70" s="237" t="e">
        <f t="shared" si="3"/>
        <v>#REF!</v>
      </c>
      <c r="U70" s="238" t="e">
        <f>(VLOOKUP($P$9,Per_diem_table,1)*N70)-SUM((X70,Y70,Z70))</f>
        <v>#REF!</v>
      </c>
      <c r="V70" s="237" t="e">
        <f>IF(U70&lt;5,5,U70)</f>
        <v>#REF!</v>
      </c>
      <c r="X70" s="170" t="e">
        <f>IF(AND(N70=0.75,($O70="TRUE")),ABS('Per Diem Calc Tool'!$R70*0.75),IF($O70="TRUE",ABS('Per Diem Calc Tool'!$R70),""))</f>
        <v>#REF!</v>
      </c>
      <c r="Y70" s="170" t="e">
        <f>IF(AND(N70=0.75,($P70="TRUE")),ABS('Per Diem Calc Tool'!$S70*0.75),IF($P70="TRUE",ABS('Per Diem Calc Tool'!$S70),""))</f>
        <v>#REF!</v>
      </c>
      <c r="Z70" s="170" t="e">
        <f>IF(AND(N70=0.75,($Q70="TRUE")),ABS('Per Diem Calc Tool'!$T70*0.75),IF($Q70="TRUE",ABS('Per Diem Calc Tool'!$T70),""))</f>
        <v>#REF!</v>
      </c>
    </row>
    <row r="71" spans="1:26" ht="15" customHeight="1">
      <c r="A71" s="32"/>
      <c r="B71" s="228"/>
      <c r="C71" s="228"/>
      <c r="D71" s="228"/>
      <c r="E71" s="33"/>
      <c r="F71" s="208"/>
      <c r="G71" s="208"/>
      <c r="H71" s="208"/>
      <c r="I71" s="208"/>
      <c r="J71" s="37"/>
      <c r="K71" s="231" t="str">
        <f t="shared" si="4"/>
        <v>NO</v>
      </c>
      <c r="L71" s="188"/>
      <c r="N71" s="235"/>
      <c r="O71" s="236"/>
      <c r="P71" s="236"/>
      <c r="Q71" s="236"/>
      <c r="R71" s="237">
        <f t="shared" si="1"/>
        <v>0</v>
      </c>
      <c r="S71" s="237">
        <f t="shared" si="2"/>
        <v>0</v>
      </c>
      <c r="T71" s="237">
        <f t="shared" si="3"/>
        <v>0</v>
      </c>
      <c r="U71" s="238" t="e">
        <f>(VLOOKUP($P$9,Per_diem_table,1)*N71)-SUM((X71,Y71,Z71))</f>
        <v>#REF!</v>
      </c>
      <c r="V71" s="237"/>
      <c r="X71" s="170">
        <f>IF(AND(N71=0.75,($O71="TRUE")),ABS('Per Diem Calc Tool'!$R71*0.75),IF($O71="TRUE",ABS('Per Diem Calc Tool'!$R71),""))</f>
      </c>
      <c r="Y71" s="170">
        <f>IF(AND(N71=0.75,($P71="TRUE")),ABS('Per Diem Calc Tool'!$S71*0.75),IF($P71="TRUE",ABS('Per Diem Calc Tool'!$S71),""))</f>
      </c>
      <c r="Z71" s="170">
        <f>IF(AND(N71=0.75,($Q71="TRUE")),ABS('Per Diem Calc Tool'!$T71*0.75),IF($Q71="TRUE",ABS('Per Diem Calc Tool'!$T71),""))</f>
      </c>
    </row>
    <row r="72" spans="1:26" ht="15" customHeight="1">
      <c r="A72" s="32"/>
      <c r="B72" s="228"/>
      <c r="C72" s="228"/>
      <c r="D72" s="228"/>
      <c r="E72" s="33"/>
      <c r="F72" s="208"/>
      <c r="G72" s="208"/>
      <c r="H72" s="208"/>
      <c r="I72" s="208"/>
      <c r="J72" s="37"/>
      <c r="K72" s="231" t="str">
        <f t="shared" si="4"/>
        <v>NO</v>
      </c>
      <c r="L72" s="188"/>
      <c r="N72" s="235"/>
      <c r="O72" s="236"/>
      <c r="P72" s="236"/>
      <c r="Q72" s="236"/>
      <c r="R72" s="237">
        <f t="shared" si="1"/>
        <v>0</v>
      </c>
      <c r="S72" s="237">
        <f t="shared" si="2"/>
        <v>0</v>
      </c>
      <c r="T72" s="237">
        <f t="shared" si="3"/>
        <v>0</v>
      </c>
      <c r="U72" s="238" t="e">
        <f>(VLOOKUP($P$9,Per_diem_table,1)*N72)-SUM((X72,Y72,Z72))</f>
        <v>#REF!</v>
      </c>
      <c r="V72" s="237"/>
      <c r="X72" s="170">
        <f>IF(AND(N72=0.75,($O72="TRUE")),ABS('Per Diem Calc Tool'!$R72*0.75),IF($O72="TRUE",ABS('Per Diem Calc Tool'!$R72),""))</f>
      </c>
      <c r="Y72" s="170">
        <f>IF(AND(N72=0.75,($P72="TRUE")),ABS('Per Diem Calc Tool'!$S72*0.75),IF($P72="TRUE",ABS('Per Diem Calc Tool'!$S72),""))</f>
      </c>
      <c r="Z72" s="170">
        <f>IF(AND(N72=0.75,($Q72="TRUE")),ABS('Per Diem Calc Tool'!$T72*0.75),IF($Q72="TRUE",ABS('Per Diem Calc Tool'!$T72),""))</f>
      </c>
    </row>
    <row r="73" spans="1:26" ht="15" customHeight="1">
      <c r="A73" s="32"/>
      <c r="B73" s="228"/>
      <c r="C73" s="228"/>
      <c r="D73" s="228"/>
      <c r="E73" s="33"/>
      <c r="F73" s="208"/>
      <c r="G73" s="208"/>
      <c r="H73" s="208"/>
      <c r="I73" s="208"/>
      <c r="J73" s="37"/>
      <c r="K73" s="231" t="str">
        <f t="shared" si="4"/>
        <v>NO</v>
      </c>
      <c r="L73" s="188">
        <v>18</v>
      </c>
      <c r="M73" s="169" t="b">
        <f>+L73&lt;=$O$7</f>
        <v>0</v>
      </c>
      <c r="N73" s="235">
        <f>IF(L73=$O$7,0.75,1)</f>
        <v>1</v>
      </c>
      <c r="O73" s="236" t="e">
        <f>IF(B37="X","TRUE","FALSE")</f>
        <v>#REF!</v>
      </c>
      <c r="P73" s="236" t="e">
        <f>IF(C37="X","TRUE","FALSE")</f>
        <v>#REF!</v>
      </c>
      <c r="Q73" s="236" t="e">
        <f>IF(D37="X","TRUE","FALSE")</f>
        <v>#REF!</v>
      </c>
      <c r="R73" s="237" t="e">
        <f t="shared" si="1"/>
        <v>#REF!</v>
      </c>
      <c r="S73" s="237" t="e">
        <f t="shared" si="2"/>
        <v>#REF!</v>
      </c>
      <c r="T73" s="237" t="e">
        <f t="shared" si="3"/>
        <v>#REF!</v>
      </c>
      <c r="U73" s="238" t="e">
        <f>(VLOOKUP($P$9,Per_diem_table,1)*N73)-SUM((X73,Y73,Z73))</f>
        <v>#REF!</v>
      </c>
      <c r="V73" s="237" t="e">
        <f>IF(U73&lt;5,5,U73)</f>
        <v>#REF!</v>
      </c>
      <c r="X73" s="170" t="e">
        <f>IF(AND(N73=0.75,($O73="TRUE")),ABS('Per Diem Calc Tool'!$R73*0.75),IF($O73="TRUE",ABS('Per Diem Calc Tool'!$R73),""))</f>
        <v>#REF!</v>
      </c>
      <c r="Y73" s="170" t="e">
        <f>IF(AND(N73=0.75,($P73="TRUE")),ABS('Per Diem Calc Tool'!$S73*0.75),IF($P73="TRUE",ABS('Per Diem Calc Tool'!$S73),""))</f>
        <v>#REF!</v>
      </c>
      <c r="Z73" s="170" t="e">
        <f>IF(AND(N73=0.75,($Q73="TRUE")),ABS('Per Diem Calc Tool'!$T73*0.75),IF($Q73="TRUE",ABS('Per Diem Calc Tool'!$T73),""))</f>
        <v>#REF!</v>
      </c>
    </row>
    <row r="74" spans="1:26" ht="15" customHeight="1">
      <c r="A74" s="32"/>
      <c r="B74" s="228"/>
      <c r="C74" s="228"/>
      <c r="D74" s="228"/>
      <c r="E74" s="33"/>
      <c r="F74" s="208"/>
      <c r="G74" s="208"/>
      <c r="H74" s="208"/>
      <c r="I74" s="208"/>
      <c r="J74" s="37"/>
      <c r="K74" s="231" t="str">
        <f t="shared" si="4"/>
        <v>NO</v>
      </c>
      <c r="L74" s="188"/>
      <c r="N74" s="235"/>
      <c r="O74" s="236"/>
      <c r="P74" s="236"/>
      <c r="Q74" s="236"/>
      <c r="R74" s="237">
        <f t="shared" si="1"/>
        <v>0</v>
      </c>
      <c r="S74" s="237">
        <f t="shared" si="2"/>
        <v>0</v>
      </c>
      <c r="T74" s="237">
        <f t="shared" si="3"/>
        <v>0</v>
      </c>
      <c r="U74" s="238" t="e">
        <f>(VLOOKUP($P$9,Per_diem_table,1)*N74)-SUM((X74,Y74,Z74))</f>
        <v>#REF!</v>
      </c>
      <c r="V74" s="237"/>
      <c r="X74" s="170">
        <f>IF(AND(N74=0.75,($O74="TRUE")),ABS('Per Diem Calc Tool'!$R74*0.75),IF($O74="TRUE",ABS('Per Diem Calc Tool'!$R74),""))</f>
      </c>
      <c r="Y74" s="170">
        <f>IF(AND(N74=0.75,($P74="TRUE")),ABS('Per Diem Calc Tool'!$S74*0.75),IF($P74="TRUE",ABS('Per Diem Calc Tool'!$S74),""))</f>
      </c>
      <c r="Z74" s="170">
        <f>IF(AND(N74=0.75,($Q74="TRUE")),ABS('Per Diem Calc Tool'!$T74*0.75),IF($Q74="TRUE",ABS('Per Diem Calc Tool'!$T74),""))</f>
      </c>
    </row>
    <row r="75" spans="1:26" ht="15" customHeight="1">
      <c r="A75" s="32"/>
      <c r="B75" s="228"/>
      <c r="C75" s="228"/>
      <c r="D75" s="228"/>
      <c r="E75" s="33"/>
      <c r="F75" s="208"/>
      <c r="G75" s="208"/>
      <c r="H75" s="208"/>
      <c r="I75" s="208"/>
      <c r="J75" s="37"/>
      <c r="K75" s="231" t="str">
        <f t="shared" si="4"/>
        <v>NO</v>
      </c>
      <c r="L75" s="188"/>
      <c r="N75" s="235"/>
      <c r="O75" s="236"/>
      <c r="P75" s="236"/>
      <c r="Q75" s="236"/>
      <c r="R75" s="237">
        <f t="shared" si="1"/>
        <v>0</v>
      </c>
      <c r="S75" s="237">
        <f t="shared" si="2"/>
        <v>0</v>
      </c>
      <c r="T75" s="237">
        <f t="shared" si="3"/>
        <v>0</v>
      </c>
      <c r="U75" s="238" t="e">
        <f>(VLOOKUP($P$9,Per_diem_table,1)*N75)-SUM((X75,Y75,Z75))</f>
        <v>#REF!</v>
      </c>
      <c r="V75" s="237"/>
      <c r="X75" s="170">
        <f>IF(AND(N75=0.75,($O75="TRUE")),ABS('Per Diem Calc Tool'!$R75*0.75),IF($O75="TRUE",ABS('Per Diem Calc Tool'!$R75),""))</f>
      </c>
      <c r="Y75" s="170">
        <f>IF(AND(N75=0.75,($P75="TRUE")),ABS('Per Diem Calc Tool'!$S75*0.75),IF($P75="TRUE",ABS('Per Diem Calc Tool'!$S75),""))</f>
      </c>
      <c r="Z75" s="170">
        <f>IF(AND(N75=0.75,($Q75="TRUE")),ABS('Per Diem Calc Tool'!$T75*0.75),IF($Q75="TRUE",ABS('Per Diem Calc Tool'!$T75),""))</f>
      </c>
    </row>
    <row r="76" spans="1:26" ht="15" customHeight="1">
      <c r="A76" s="32"/>
      <c r="B76" s="228"/>
      <c r="C76" s="228"/>
      <c r="D76" s="228"/>
      <c r="E76" s="33"/>
      <c r="F76" s="208"/>
      <c r="G76" s="208"/>
      <c r="H76" s="208"/>
      <c r="I76" s="208"/>
      <c r="J76" s="37"/>
      <c r="K76" s="231" t="str">
        <f t="shared" si="4"/>
        <v>NO</v>
      </c>
      <c r="L76" s="188">
        <v>19</v>
      </c>
      <c r="M76" s="169" t="b">
        <f>+L76&lt;=$O$7</f>
        <v>0</v>
      </c>
      <c r="N76" s="235">
        <f>IF(L76=$O$7,0.75,1)</f>
        <v>1</v>
      </c>
      <c r="O76" s="236" t="e">
        <f>IF(B38="X","TRUE","FALSE")</f>
        <v>#REF!</v>
      </c>
      <c r="P76" s="236" t="e">
        <f>IF(C38="X","TRUE","FALSE")</f>
        <v>#REF!</v>
      </c>
      <c r="Q76" s="236" t="e">
        <f>IF(D38="X","TRUE","FALSE")</f>
        <v>#REF!</v>
      </c>
      <c r="R76" s="237" t="e">
        <f t="shared" si="1"/>
        <v>#REF!</v>
      </c>
      <c r="S76" s="237" t="e">
        <f t="shared" si="2"/>
        <v>#REF!</v>
      </c>
      <c r="T76" s="237" t="e">
        <f t="shared" si="3"/>
        <v>#REF!</v>
      </c>
      <c r="U76" s="238" t="e">
        <f>(VLOOKUP($P$9,Per_diem_table,1)*N76)-SUM((X76,Y76,Z76))</f>
        <v>#REF!</v>
      </c>
      <c r="V76" s="237" t="e">
        <f>IF(U76&lt;5,5,U76)</f>
        <v>#REF!</v>
      </c>
      <c r="X76" s="170" t="e">
        <f>IF(AND(N76=0.75,($O76="TRUE")),ABS('Per Diem Calc Tool'!$R76*0.75),IF($O76="TRUE",ABS('Per Diem Calc Tool'!$R76),""))</f>
        <v>#REF!</v>
      </c>
      <c r="Y76" s="170" t="e">
        <f>IF(AND(N76=0.75,($P76="TRUE")),ABS('Per Diem Calc Tool'!$S76*0.75),IF($P76="TRUE",ABS('Per Diem Calc Tool'!$S76),""))</f>
        <v>#REF!</v>
      </c>
      <c r="Z76" s="170" t="e">
        <f>IF(AND(N76=0.75,($Q76="TRUE")),ABS('Per Diem Calc Tool'!$T76*0.75),IF($Q76="TRUE",ABS('Per Diem Calc Tool'!$T76),""))</f>
        <v>#REF!</v>
      </c>
    </row>
    <row r="77" spans="1:26" ht="15" customHeight="1">
      <c r="A77" s="32"/>
      <c r="B77" s="228"/>
      <c r="C77" s="228"/>
      <c r="D77" s="228"/>
      <c r="E77" s="33"/>
      <c r="F77" s="208"/>
      <c r="G77" s="208"/>
      <c r="H77" s="208"/>
      <c r="I77" s="208"/>
      <c r="J77" s="37"/>
      <c r="K77" s="231" t="str">
        <f t="shared" si="4"/>
        <v>NO</v>
      </c>
      <c r="L77" s="188"/>
      <c r="N77" s="235"/>
      <c r="O77" s="236"/>
      <c r="P77" s="236"/>
      <c r="Q77" s="236"/>
      <c r="R77" s="237">
        <f t="shared" si="1"/>
        <v>0</v>
      </c>
      <c r="S77" s="237">
        <f t="shared" si="2"/>
        <v>0</v>
      </c>
      <c r="T77" s="237">
        <f t="shared" si="3"/>
        <v>0</v>
      </c>
      <c r="U77" s="238" t="e">
        <f>(VLOOKUP($P$9,Per_diem_table,1)*N77)-SUM((X77,Y77,Z77))</f>
        <v>#REF!</v>
      </c>
      <c r="V77" s="237"/>
      <c r="X77" s="170">
        <f>IF(AND(N77=0.75,($O77="TRUE")),ABS('Per Diem Calc Tool'!$R77*0.75),IF($O77="TRUE",ABS('Per Diem Calc Tool'!$R77),""))</f>
      </c>
      <c r="Y77" s="170">
        <f>IF(AND(N77=0.75,($P77="TRUE")),ABS('Per Diem Calc Tool'!$S77*0.75),IF($P77="TRUE",ABS('Per Diem Calc Tool'!$S77),""))</f>
      </c>
      <c r="Z77" s="170">
        <f>IF(AND(N77=0.75,($Q77="TRUE")),ABS('Per Diem Calc Tool'!$T77*0.75),IF($Q77="TRUE",ABS('Per Diem Calc Tool'!$T77),""))</f>
      </c>
    </row>
    <row r="78" spans="1:26" ht="15" customHeight="1">
      <c r="A78" s="32"/>
      <c r="B78" s="228"/>
      <c r="C78" s="228"/>
      <c r="D78" s="228"/>
      <c r="E78" s="33"/>
      <c r="F78" s="208"/>
      <c r="G78" s="208"/>
      <c r="H78" s="208"/>
      <c r="I78" s="208"/>
      <c r="J78" s="37"/>
      <c r="K78" s="231" t="str">
        <f t="shared" si="4"/>
        <v>NO</v>
      </c>
      <c r="L78" s="188"/>
      <c r="N78" s="235"/>
      <c r="O78" s="236"/>
      <c r="P78" s="236"/>
      <c r="Q78" s="236"/>
      <c r="R78" s="237">
        <f t="shared" si="1"/>
        <v>0</v>
      </c>
      <c r="S78" s="237">
        <f t="shared" si="2"/>
        <v>0</v>
      </c>
      <c r="T78" s="237">
        <f t="shared" si="3"/>
        <v>0</v>
      </c>
      <c r="U78" s="238" t="e">
        <f>(VLOOKUP($P$9,Per_diem_table,1)*N78)-SUM((X78,Y78,Z78))</f>
        <v>#REF!</v>
      </c>
      <c r="V78" s="237"/>
      <c r="X78" s="170">
        <f>IF(AND(N78=0.75,($O78="TRUE")),ABS('Per Diem Calc Tool'!$R78*0.75),IF($O78="TRUE",ABS('Per Diem Calc Tool'!$R78),""))</f>
      </c>
      <c r="Y78" s="170">
        <f>IF(AND(N78=0.75,($P78="TRUE")),ABS('Per Diem Calc Tool'!$S78*0.75),IF($P78="TRUE",ABS('Per Diem Calc Tool'!$S78),""))</f>
      </c>
      <c r="Z78" s="170">
        <f>IF(AND(N78=0.75,($Q78="TRUE")),ABS('Per Diem Calc Tool'!$T78*0.75),IF($Q78="TRUE",ABS('Per Diem Calc Tool'!$T78),""))</f>
      </c>
    </row>
    <row r="79" spans="1:26" ht="15" customHeight="1">
      <c r="A79" s="32"/>
      <c r="B79" s="228"/>
      <c r="C79" s="228"/>
      <c r="D79" s="228"/>
      <c r="E79" s="33"/>
      <c r="F79" s="208"/>
      <c r="G79" s="208"/>
      <c r="H79" s="208"/>
      <c r="I79" s="208"/>
      <c r="J79" s="37"/>
      <c r="K79" s="231" t="str">
        <f t="shared" si="4"/>
        <v>NO</v>
      </c>
      <c r="L79" s="188">
        <v>20</v>
      </c>
      <c r="M79" s="169" t="b">
        <f>+L79&lt;=$O$7</f>
        <v>0</v>
      </c>
      <c r="N79" s="235">
        <f>IF(L79=$O$7,0.75,1)</f>
        <v>1</v>
      </c>
      <c r="O79" s="236" t="e">
        <f>IF(B39="X","TRUE","FALSE")</f>
        <v>#REF!</v>
      </c>
      <c r="P79" s="236" t="e">
        <f>IF(C39="X","TRUE","FALSE")</f>
        <v>#REF!</v>
      </c>
      <c r="Q79" s="236" t="e">
        <f>IF(D39="X","TRUE","FALSE")</f>
        <v>#REF!</v>
      </c>
      <c r="R79" s="237" t="e">
        <f t="shared" si="1"/>
        <v>#REF!</v>
      </c>
      <c r="S79" s="237" t="e">
        <f t="shared" si="2"/>
        <v>#REF!</v>
      </c>
      <c r="T79" s="237" t="e">
        <f t="shared" si="3"/>
        <v>#REF!</v>
      </c>
      <c r="U79" s="238" t="e">
        <f>(VLOOKUP($P$9,Per_diem_table,1)*N79)-SUM((X79,Y79,Z79))</f>
        <v>#REF!</v>
      </c>
      <c r="V79" s="237" t="e">
        <f>IF(U79&lt;5,5,U79)</f>
        <v>#REF!</v>
      </c>
      <c r="X79" s="170" t="e">
        <f>IF(AND(N79=0.75,($O79="TRUE")),ABS('Per Diem Calc Tool'!$R79*0.75),IF($O79="TRUE",ABS('Per Diem Calc Tool'!$R79),""))</f>
        <v>#REF!</v>
      </c>
      <c r="Y79" s="170" t="e">
        <f>IF(AND(N79=0.75,($P79="TRUE")),ABS('Per Diem Calc Tool'!$S79*0.75),IF($P79="TRUE",ABS('Per Diem Calc Tool'!$S79),""))</f>
        <v>#REF!</v>
      </c>
      <c r="Z79" s="170" t="e">
        <f>IF(AND(N79=0.75,($Q79="TRUE")),ABS('Per Diem Calc Tool'!$T79*0.75),IF($Q79="TRUE",ABS('Per Diem Calc Tool'!$T79),""))</f>
        <v>#REF!</v>
      </c>
    </row>
    <row r="80" spans="1:26" ht="15" customHeight="1">
      <c r="A80" s="32"/>
      <c r="B80" s="228"/>
      <c r="C80" s="228"/>
      <c r="D80" s="228"/>
      <c r="E80" s="33"/>
      <c r="F80" s="208"/>
      <c r="G80" s="208"/>
      <c r="H80" s="208"/>
      <c r="I80" s="208"/>
      <c r="J80" s="37"/>
      <c r="K80" s="231" t="str">
        <f t="shared" si="4"/>
        <v>NO</v>
      </c>
      <c r="L80" s="188"/>
      <c r="N80" s="235"/>
      <c r="O80" s="236"/>
      <c r="P80" s="236"/>
      <c r="Q80" s="236"/>
      <c r="R80" s="237">
        <f t="shared" si="1"/>
        <v>0</v>
      </c>
      <c r="S80" s="237">
        <f t="shared" si="2"/>
        <v>0</v>
      </c>
      <c r="T80" s="237">
        <f t="shared" si="3"/>
        <v>0</v>
      </c>
      <c r="U80" s="238" t="e">
        <f>(VLOOKUP($P$9,Per_diem_table,1)*N80)-SUM((X80,Y80,Z80))</f>
        <v>#REF!</v>
      </c>
      <c r="V80" s="237"/>
      <c r="X80" s="170">
        <f>IF(AND(N80=0.75,($O80="TRUE")),ABS('Per Diem Calc Tool'!$R80*0.75),IF($O80="TRUE",ABS('Per Diem Calc Tool'!$R80),""))</f>
      </c>
      <c r="Y80" s="170">
        <f>IF(AND(N80=0.75,($P80="TRUE")),ABS('Per Diem Calc Tool'!$S80*0.75),IF($P80="TRUE",ABS('Per Diem Calc Tool'!$S80),""))</f>
      </c>
      <c r="Z80" s="170">
        <f>IF(AND(N80=0.75,($Q80="TRUE")),ABS('Per Diem Calc Tool'!$T80*0.75),IF($Q80="TRUE",ABS('Per Diem Calc Tool'!$T80),""))</f>
      </c>
    </row>
    <row r="81" spans="1:26" ht="15" customHeight="1">
      <c r="A81" s="32"/>
      <c r="B81" s="228"/>
      <c r="C81" s="228"/>
      <c r="D81" s="228"/>
      <c r="E81" s="33"/>
      <c r="F81" s="208"/>
      <c r="G81" s="208"/>
      <c r="H81" s="208"/>
      <c r="I81" s="208"/>
      <c r="J81" s="37"/>
      <c r="K81" s="231" t="str">
        <f t="shared" si="4"/>
        <v>NO</v>
      </c>
      <c r="L81" s="188"/>
      <c r="N81" s="235"/>
      <c r="O81" s="236"/>
      <c r="P81" s="236"/>
      <c r="Q81" s="236"/>
      <c r="R81" s="237">
        <f t="shared" si="1"/>
        <v>0</v>
      </c>
      <c r="S81" s="237">
        <f t="shared" si="2"/>
        <v>0</v>
      </c>
      <c r="T81" s="237">
        <f t="shared" si="3"/>
        <v>0</v>
      </c>
      <c r="U81" s="238" t="e">
        <f>(VLOOKUP($P$9,Per_diem_table,1)*N81)-SUM((X81,Y81,Z81))</f>
        <v>#REF!</v>
      </c>
      <c r="V81" s="237"/>
      <c r="X81" s="170">
        <f>IF(AND(N81=0.75,($O81="TRUE")),ABS('Per Diem Calc Tool'!$R81*0.75),IF($O81="TRUE",ABS('Per Diem Calc Tool'!$R81),""))</f>
      </c>
      <c r="Y81" s="170">
        <f>IF(AND(N81=0.75,($P81="TRUE")),ABS('Per Diem Calc Tool'!$S81*0.75),IF($P81="TRUE",ABS('Per Diem Calc Tool'!$S81),""))</f>
      </c>
      <c r="Z81" s="170">
        <f>IF(AND(N81=0.75,($Q81="TRUE")),ABS('Per Diem Calc Tool'!$T81*0.75),IF($Q81="TRUE",ABS('Per Diem Calc Tool'!$T81),""))</f>
      </c>
    </row>
    <row r="82" spans="1:26" ht="15" customHeight="1">
      <c r="A82" s="32"/>
      <c r="B82" s="228"/>
      <c r="C82" s="228"/>
      <c r="D82" s="228"/>
      <c r="E82" s="33"/>
      <c r="F82" s="208"/>
      <c r="G82" s="208"/>
      <c r="H82" s="208"/>
      <c r="I82" s="208"/>
      <c r="J82" s="37"/>
      <c r="K82" s="231" t="str">
        <f t="shared" si="4"/>
        <v>NO</v>
      </c>
      <c r="L82" s="188">
        <v>21</v>
      </c>
      <c r="M82" s="169" t="b">
        <f>+L82&lt;=$O$7</f>
        <v>0</v>
      </c>
      <c r="N82" s="235">
        <f>IF(L82=$O$7,0.75,1)</f>
        <v>1</v>
      </c>
      <c r="O82" s="236" t="e">
        <f>IF(B40="X","TRUE","FALSE")</f>
        <v>#REF!</v>
      </c>
      <c r="P82" s="236" t="e">
        <f>IF(C40="X","TRUE","FALSE")</f>
        <v>#REF!</v>
      </c>
      <c r="Q82" s="236" t="e">
        <f>IF(D40="X","TRUE","FALSE")</f>
        <v>#REF!</v>
      </c>
      <c r="R82" s="237" t="e">
        <f t="shared" si="1"/>
        <v>#REF!</v>
      </c>
      <c r="S82" s="237" t="e">
        <f t="shared" si="2"/>
        <v>#REF!</v>
      </c>
      <c r="T82" s="237" t="e">
        <f t="shared" si="3"/>
        <v>#REF!</v>
      </c>
      <c r="U82" s="238" t="e">
        <f>(VLOOKUP($P$9,Per_diem_table,1)*N82)-SUM((X82,Y82,Z82))</f>
        <v>#REF!</v>
      </c>
      <c r="V82" s="237" t="e">
        <f>IF(U82&lt;5,5,U82)</f>
        <v>#REF!</v>
      </c>
      <c r="X82" s="170" t="e">
        <f>IF(AND(N82=0.75,($O82="TRUE")),ABS('Per Diem Calc Tool'!$R82*0.75),IF($O82="TRUE",ABS('Per Diem Calc Tool'!$R82),""))</f>
        <v>#REF!</v>
      </c>
      <c r="Y82" s="170" t="e">
        <f>IF(AND(N82=0.75,($P82="TRUE")),ABS('Per Diem Calc Tool'!$S82*0.75),IF($P82="TRUE",ABS('Per Diem Calc Tool'!$S82),""))</f>
        <v>#REF!</v>
      </c>
      <c r="Z82" s="170" t="e">
        <f>IF(AND(N82=0.75,($Q82="TRUE")),ABS('Per Diem Calc Tool'!$T82*0.75),IF($Q82="TRUE",ABS('Per Diem Calc Tool'!$T82),""))</f>
        <v>#REF!</v>
      </c>
    </row>
    <row r="83" spans="1:26" ht="15" customHeight="1">
      <c r="A83" s="32"/>
      <c r="B83" s="228"/>
      <c r="C83" s="228"/>
      <c r="D83" s="228"/>
      <c r="E83" s="33"/>
      <c r="F83" s="208"/>
      <c r="G83" s="208"/>
      <c r="H83" s="208"/>
      <c r="I83" s="208"/>
      <c r="J83" s="37"/>
      <c r="K83" s="231" t="str">
        <f t="shared" si="4"/>
        <v>NO</v>
      </c>
      <c r="L83" s="188"/>
      <c r="N83" s="235"/>
      <c r="O83" s="236"/>
      <c r="P83" s="236"/>
      <c r="Q83" s="236"/>
      <c r="R83" s="237">
        <f aca="true" t="shared" si="5" ref="R83:R146">IF(O83="TRUE",-VLOOKUP($P$9,Per_diem_table,2),0)</f>
        <v>0</v>
      </c>
      <c r="S83" s="237">
        <f aca="true" t="shared" si="6" ref="S83:S146">IF(P83="TRUE",-VLOOKUP($P$9,Per_diem_table,3),0)</f>
        <v>0</v>
      </c>
      <c r="T83" s="237">
        <f aca="true" t="shared" si="7" ref="T83:T146">IF(Q83="TRUE",-VLOOKUP($P$9,Per_diem_table,4),0)</f>
        <v>0</v>
      </c>
      <c r="U83" s="238" t="e">
        <f>(VLOOKUP($P$9,Per_diem_table,1)*N83)-SUM((X83,Y83,Z83))</f>
        <v>#REF!</v>
      </c>
      <c r="V83" s="237"/>
      <c r="X83" s="170">
        <f>IF(AND(N83=0.75,($O83="TRUE")),ABS('Per Diem Calc Tool'!$R83*0.75),IF($O83="TRUE",ABS('Per Diem Calc Tool'!$R83),""))</f>
      </c>
      <c r="Y83" s="170">
        <f>IF(AND(N83=0.75,($P83="TRUE")),ABS('Per Diem Calc Tool'!$S83*0.75),IF($P83="TRUE",ABS('Per Diem Calc Tool'!$S83),""))</f>
      </c>
      <c r="Z83" s="170">
        <f>IF(AND(N83=0.75,($Q83="TRUE")),ABS('Per Diem Calc Tool'!$T83*0.75),IF($Q83="TRUE",ABS('Per Diem Calc Tool'!$T83),""))</f>
      </c>
    </row>
    <row r="84" spans="1:26" ht="15" customHeight="1">
      <c r="A84" s="32"/>
      <c r="B84" s="228"/>
      <c r="C84" s="228"/>
      <c r="D84" s="228"/>
      <c r="E84" s="33"/>
      <c r="F84" s="208"/>
      <c r="G84" s="208"/>
      <c r="H84" s="208"/>
      <c r="I84" s="208"/>
      <c r="J84" s="37"/>
      <c r="K84" s="231" t="str">
        <f aca="true" t="shared" si="8" ref="K84:K102">IF(A84="","NO","YES")</f>
        <v>NO</v>
      </c>
      <c r="L84" s="188"/>
      <c r="N84" s="235"/>
      <c r="O84" s="236"/>
      <c r="P84" s="236"/>
      <c r="Q84" s="236"/>
      <c r="R84" s="237">
        <f t="shared" si="5"/>
        <v>0</v>
      </c>
      <c r="S84" s="237">
        <f t="shared" si="6"/>
        <v>0</v>
      </c>
      <c r="T84" s="237">
        <f t="shared" si="7"/>
        <v>0</v>
      </c>
      <c r="U84" s="238" t="e">
        <f>(VLOOKUP($P$9,Per_diem_table,1)*N84)-SUM((X84,Y84,Z84))</f>
        <v>#REF!</v>
      </c>
      <c r="V84" s="237"/>
      <c r="X84" s="170">
        <f>IF(AND(N84=0.75,($O84="TRUE")),ABS('Per Diem Calc Tool'!$R84*0.75),IF($O84="TRUE",ABS('Per Diem Calc Tool'!$R84),""))</f>
      </c>
      <c r="Y84" s="170">
        <f>IF(AND(N84=0.75,($P84="TRUE")),ABS('Per Diem Calc Tool'!$S84*0.75),IF($P84="TRUE",ABS('Per Diem Calc Tool'!$S84),""))</f>
      </c>
      <c r="Z84" s="170">
        <f>IF(AND(N84=0.75,($Q84="TRUE")),ABS('Per Diem Calc Tool'!$T84*0.75),IF($Q84="TRUE",ABS('Per Diem Calc Tool'!$T84),""))</f>
      </c>
    </row>
    <row r="85" spans="1:26" ht="15" customHeight="1">
      <c r="A85" s="32"/>
      <c r="B85" s="228"/>
      <c r="C85" s="228"/>
      <c r="D85" s="228"/>
      <c r="E85" s="33"/>
      <c r="F85" s="208"/>
      <c r="G85" s="208"/>
      <c r="H85" s="208"/>
      <c r="I85" s="208"/>
      <c r="J85" s="37"/>
      <c r="K85" s="231" t="str">
        <f t="shared" si="8"/>
        <v>NO</v>
      </c>
      <c r="L85" s="188">
        <v>22</v>
      </c>
      <c r="M85" s="169" t="b">
        <f>+L85&lt;=$O$7</f>
        <v>0</v>
      </c>
      <c r="N85" s="235">
        <f>IF(L85=$O$7,0.75,1)</f>
        <v>1</v>
      </c>
      <c r="O85" s="236" t="e">
        <f>IF(B41="X","TRUE","FALSE")</f>
        <v>#REF!</v>
      </c>
      <c r="P85" s="236" t="e">
        <f>IF(C41="X","TRUE","FALSE")</f>
        <v>#REF!</v>
      </c>
      <c r="Q85" s="236" t="e">
        <f>IF(D41="X","TRUE","FALSE")</f>
        <v>#REF!</v>
      </c>
      <c r="R85" s="237" t="e">
        <f t="shared" si="5"/>
        <v>#REF!</v>
      </c>
      <c r="S85" s="237" t="e">
        <f t="shared" si="6"/>
        <v>#REF!</v>
      </c>
      <c r="T85" s="237" t="e">
        <f t="shared" si="7"/>
        <v>#REF!</v>
      </c>
      <c r="U85" s="238" t="e">
        <f>(VLOOKUP($P$9,Per_diem_table,1)*N85)-SUM((X85,Y85,Z85))</f>
        <v>#REF!</v>
      </c>
      <c r="V85" s="237" t="e">
        <f>IF(U85&lt;5,5,U85)</f>
        <v>#REF!</v>
      </c>
      <c r="X85" s="170" t="e">
        <f>IF(AND(N85=0.75,($O85="TRUE")),ABS('Per Diem Calc Tool'!$R85*0.75),IF($O85="TRUE",ABS('Per Diem Calc Tool'!$R85),""))</f>
        <v>#REF!</v>
      </c>
      <c r="Y85" s="170" t="e">
        <f>IF(AND(N85=0.75,($P85="TRUE")),ABS('Per Diem Calc Tool'!$S85*0.75),IF($P85="TRUE",ABS('Per Diem Calc Tool'!$S85),""))</f>
        <v>#REF!</v>
      </c>
      <c r="Z85" s="170" t="e">
        <f>IF(AND(N85=0.75,($Q85="TRUE")),ABS('Per Diem Calc Tool'!$T85*0.75),IF($Q85="TRUE",ABS('Per Diem Calc Tool'!$T85),""))</f>
        <v>#REF!</v>
      </c>
    </row>
    <row r="86" spans="1:26" ht="15" customHeight="1">
      <c r="A86" s="32"/>
      <c r="B86" s="228"/>
      <c r="C86" s="228"/>
      <c r="D86" s="228"/>
      <c r="E86" s="33"/>
      <c r="F86" s="208"/>
      <c r="G86" s="208"/>
      <c r="H86" s="208"/>
      <c r="I86" s="208"/>
      <c r="J86" s="37"/>
      <c r="K86" s="231" t="str">
        <f t="shared" si="8"/>
        <v>NO</v>
      </c>
      <c r="L86" s="188"/>
      <c r="N86" s="235"/>
      <c r="O86" s="236"/>
      <c r="P86" s="236"/>
      <c r="Q86" s="236"/>
      <c r="R86" s="237">
        <f t="shared" si="5"/>
        <v>0</v>
      </c>
      <c r="S86" s="237">
        <f t="shared" si="6"/>
        <v>0</v>
      </c>
      <c r="T86" s="237">
        <f t="shared" si="7"/>
        <v>0</v>
      </c>
      <c r="U86" s="238" t="e">
        <f>(VLOOKUP($P$9,Per_diem_table,1)*N86)-SUM((X86,Y86,Z86))</f>
        <v>#REF!</v>
      </c>
      <c r="V86" s="237"/>
      <c r="X86" s="170">
        <f>IF(AND(N86=0.75,($O86="TRUE")),ABS('Per Diem Calc Tool'!$R86*0.75),IF($O86="TRUE",ABS('Per Diem Calc Tool'!$R86),""))</f>
      </c>
      <c r="Y86" s="170">
        <f>IF(AND(N86=0.75,($P86="TRUE")),ABS('Per Diem Calc Tool'!$S86*0.75),IF($P86="TRUE",ABS('Per Diem Calc Tool'!$S86),""))</f>
      </c>
      <c r="Z86" s="170">
        <f>IF(AND(N86=0.75,($Q86="TRUE")),ABS('Per Diem Calc Tool'!$T86*0.75),IF($Q86="TRUE",ABS('Per Diem Calc Tool'!$T86),""))</f>
      </c>
    </row>
    <row r="87" spans="1:26" ht="15" customHeight="1">
      <c r="A87" s="32"/>
      <c r="B87" s="228"/>
      <c r="C87" s="228"/>
      <c r="D87" s="228"/>
      <c r="E87" s="33"/>
      <c r="F87" s="208"/>
      <c r="G87" s="208"/>
      <c r="H87" s="208"/>
      <c r="I87" s="208"/>
      <c r="J87" s="37"/>
      <c r="K87" s="231" t="str">
        <f t="shared" si="8"/>
        <v>NO</v>
      </c>
      <c r="L87" s="188"/>
      <c r="N87" s="235"/>
      <c r="O87" s="236"/>
      <c r="P87" s="236"/>
      <c r="Q87" s="236"/>
      <c r="R87" s="237">
        <f t="shared" si="5"/>
        <v>0</v>
      </c>
      <c r="S87" s="237">
        <f t="shared" si="6"/>
        <v>0</v>
      </c>
      <c r="T87" s="237">
        <f t="shared" si="7"/>
        <v>0</v>
      </c>
      <c r="U87" s="238" t="e">
        <f>(VLOOKUP($P$9,Per_diem_table,1)*N87)-SUM((X87,Y87,Z87))</f>
        <v>#REF!</v>
      </c>
      <c r="V87" s="237"/>
      <c r="X87" s="170">
        <f>IF(AND(N87=0.75,($O87="TRUE")),ABS('Per Diem Calc Tool'!$R87*0.75),IF($O87="TRUE",ABS('Per Diem Calc Tool'!$R87),""))</f>
      </c>
      <c r="Y87" s="170">
        <f>IF(AND(N87=0.75,($P87="TRUE")),ABS('Per Diem Calc Tool'!$S87*0.75),IF($P87="TRUE",ABS('Per Diem Calc Tool'!$S87),""))</f>
      </c>
      <c r="Z87" s="170">
        <f>IF(AND(N87=0.75,($Q87="TRUE")),ABS('Per Diem Calc Tool'!$T87*0.75),IF($Q87="TRUE",ABS('Per Diem Calc Tool'!$T87),""))</f>
      </c>
    </row>
    <row r="88" spans="1:26" ht="15" customHeight="1">
      <c r="A88" s="32"/>
      <c r="B88" s="228"/>
      <c r="C88" s="228"/>
      <c r="D88" s="228"/>
      <c r="E88" s="33"/>
      <c r="F88" s="208"/>
      <c r="G88" s="208"/>
      <c r="H88" s="208"/>
      <c r="I88" s="208"/>
      <c r="J88" s="37"/>
      <c r="K88" s="231" t="str">
        <f t="shared" si="8"/>
        <v>NO</v>
      </c>
      <c r="L88" s="188">
        <v>23</v>
      </c>
      <c r="M88" s="169" t="b">
        <f>+L88&lt;=$O$7</f>
        <v>0</v>
      </c>
      <c r="N88" s="235">
        <f>IF(L88=$O$7,0.75,1)</f>
        <v>1</v>
      </c>
      <c r="O88" s="236" t="e">
        <f>IF(B42="X","TRUE","FALSE")</f>
        <v>#REF!</v>
      </c>
      <c r="P88" s="236" t="e">
        <f>IF(C42="X","TRUE","FALSE")</f>
        <v>#REF!</v>
      </c>
      <c r="Q88" s="236" t="e">
        <f>IF(D42="X","TRUE","FALSE")</f>
        <v>#REF!</v>
      </c>
      <c r="R88" s="237" t="e">
        <f t="shared" si="5"/>
        <v>#REF!</v>
      </c>
      <c r="S88" s="237" t="e">
        <f t="shared" si="6"/>
        <v>#REF!</v>
      </c>
      <c r="T88" s="237" t="e">
        <f t="shared" si="7"/>
        <v>#REF!</v>
      </c>
      <c r="U88" s="238" t="e">
        <f>(VLOOKUP($P$9,Per_diem_table,1)*N88)-SUM((X88,Y88,Z88))</f>
        <v>#REF!</v>
      </c>
      <c r="V88" s="237" t="e">
        <f>IF(U88&lt;5,5,U88)</f>
        <v>#REF!</v>
      </c>
      <c r="X88" s="170" t="e">
        <f>IF(AND(N88=0.75,($O88="TRUE")),ABS('Per Diem Calc Tool'!$R88*0.75),IF($O88="TRUE",ABS('Per Diem Calc Tool'!$R88),""))</f>
        <v>#REF!</v>
      </c>
      <c r="Y88" s="170" t="e">
        <f>IF(AND(N88=0.75,($P88="TRUE")),ABS('Per Diem Calc Tool'!$S88*0.75),IF($P88="TRUE",ABS('Per Diem Calc Tool'!$S88),""))</f>
        <v>#REF!</v>
      </c>
      <c r="Z88" s="170" t="e">
        <f>IF(AND(N88=0.75,($Q88="TRUE")),ABS('Per Diem Calc Tool'!$T88*0.75),IF($Q88="TRUE",ABS('Per Diem Calc Tool'!$T88),""))</f>
        <v>#REF!</v>
      </c>
    </row>
    <row r="89" spans="1:26" ht="15" customHeight="1">
      <c r="A89" s="32"/>
      <c r="B89" s="228"/>
      <c r="C89" s="228"/>
      <c r="D89" s="228"/>
      <c r="E89" s="33"/>
      <c r="F89" s="208"/>
      <c r="G89" s="208"/>
      <c r="H89" s="208"/>
      <c r="I89" s="208"/>
      <c r="J89" s="37"/>
      <c r="K89" s="231" t="str">
        <f t="shared" si="8"/>
        <v>NO</v>
      </c>
      <c r="L89" s="188"/>
      <c r="N89" s="235"/>
      <c r="O89" s="236"/>
      <c r="P89" s="236"/>
      <c r="Q89" s="236"/>
      <c r="R89" s="237">
        <f t="shared" si="5"/>
        <v>0</v>
      </c>
      <c r="S89" s="237">
        <f t="shared" si="6"/>
        <v>0</v>
      </c>
      <c r="T89" s="237">
        <f t="shared" si="7"/>
        <v>0</v>
      </c>
      <c r="U89" s="238" t="e">
        <f>(VLOOKUP($P$9,Per_diem_table,1)*N89)-SUM((X89,Y89,Z89))</f>
        <v>#REF!</v>
      </c>
      <c r="V89" s="237"/>
      <c r="X89" s="170">
        <f>IF(AND(N89=0.75,($O89="TRUE")),ABS('Per Diem Calc Tool'!$R89*0.75),IF($O89="TRUE",ABS('Per Diem Calc Tool'!$R89),""))</f>
      </c>
      <c r="Y89" s="170">
        <f>IF(AND(N89=0.75,($P89="TRUE")),ABS('Per Diem Calc Tool'!$S89*0.75),IF($P89="TRUE",ABS('Per Diem Calc Tool'!$S89),""))</f>
      </c>
      <c r="Z89" s="170">
        <f>IF(AND(N89=0.75,($Q89="TRUE")),ABS('Per Diem Calc Tool'!$T89*0.75),IF($Q89="TRUE",ABS('Per Diem Calc Tool'!$T89),""))</f>
      </c>
    </row>
    <row r="90" spans="1:26" ht="15" customHeight="1">
      <c r="A90" s="32"/>
      <c r="B90" s="228"/>
      <c r="C90" s="228"/>
      <c r="D90" s="228"/>
      <c r="E90" s="33"/>
      <c r="F90" s="208"/>
      <c r="G90" s="208"/>
      <c r="H90" s="208"/>
      <c r="I90" s="208"/>
      <c r="J90" s="37"/>
      <c r="K90" s="231" t="str">
        <f t="shared" si="8"/>
        <v>NO</v>
      </c>
      <c r="L90" s="188"/>
      <c r="N90" s="235"/>
      <c r="O90" s="236"/>
      <c r="P90" s="236"/>
      <c r="Q90" s="236"/>
      <c r="R90" s="237">
        <f t="shared" si="5"/>
        <v>0</v>
      </c>
      <c r="S90" s="237">
        <f t="shared" si="6"/>
        <v>0</v>
      </c>
      <c r="T90" s="237">
        <f t="shared" si="7"/>
        <v>0</v>
      </c>
      <c r="U90" s="238" t="e">
        <f>(VLOOKUP($P$9,Per_diem_table,1)*N90)-SUM((X90,Y90,Z90))</f>
        <v>#REF!</v>
      </c>
      <c r="V90" s="237"/>
      <c r="X90" s="170">
        <f>IF(AND(N90=0.75,($O90="TRUE")),ABS('Per Diem Calc Tool'!$R90*0.75),IF($O90="TRUE",ABS('Per Diem Calc Tool'!$R90),""))</f>
      </c>
      <c r="Y90" s="170">
        <f>IF(AND(N90=0.75,($P90="TRUE")),ABS('Per Diem Calc Tool'!$S90*0.75),IF($P90="TRUE",ABS('Per Diem Calc Tool'!$S90),""))</f>
      </c>
      <c r="Z90" s="170">
        <f>IF(AND(N90=0.75,($Q90="TRUE")),ABS('Per Diem Calc Tool'!$T90*0.75),IF($Q90="TRUE",ABS('Per Diem Calc Tool'!$T90),""))</f>
      </c>
    </row>
    <row r="91" spans="1:26" ht="15" customHeight="1">
      <c r="A91" s="32"/>
      <c r="B91" s="228"/>
      <c r="C91" s="228"/>
      <c r="D91" s="228"/>
      <c r="E91" s="33"/>
      <c r="F91" s="208"/>
      <c r="G91" s="208"/>
      <c r="H91" s="208"/>
      <c r="I91" s="208"/>
      <c r="J91" s="37"/>
      <c r="K91" s="231" t="str">
        <f t="shared" si="8"/>
        <v>NO</v>
      </c>
      <c r="L91" s="188">
        <v>24</v>
      </c>
      <c r="M91" s="169" t="b">
        <f>+L91&lt;=$O$7</f>
        <v>0</v>
      </c>
      <c r="N91" s="235">
        <f>IF(L91=$O$7,0.75,1)</f>
        <v>1</v>
      </c>
      <c r="O91" s="236" t="e">
        <f>IF(B43="X","TRUE","FALSE")</f>
        <v>#REF!</v>
      </c>
      <c r="P91" s="236" t="e">
        <f>IF(C43="X","TRUE","FALSE")</f>
        <v>#REF!</v>
      </c>
      <c r="Q91" s="236" t="e">
        <f>IF(D43="X","TRUE","FALSE")</f>
        <v>#REF!</v>
      </c>
      <c r="R91" s="237" t="e">
        <f t="shared" si="5"/>
        <v>#REF!</v>
      </c>
      <c r="S91" s="237" t="e">
        <f t="shared" si="6"/>
        <v>#REF!</v>
      </c>
      <c r="T91" s="237" t="e">
        <f t="shared" si="7"/>
        <v>#REF!</v>
      </c>
      <c r="U91" s="238" t="e">
        <f>(VLOOKUP($P$9,Per_diem_table,1)*N91)-SUM((X91,Y91,Z91))</f>
        <v>#REF!</v>
      </c>
      <c r="V91" s="237" t="e">
        <f>IF(U91&lt;5,5,U91)</f>
        <v>#REF!</v>
      </c>
      <c r="X91" s="170" t="e">
        <f>IF(AND(N91=0.75,($O91="TRUE")),ABS('Per Diem Calc Tool'!$R91*0.75),IF($O91="TRUE",ABS('Per Diem Calc Tool'!$R91),""))</f>
        <v>#REF!</v>
      </c>
      <c r="Y91" s="170" t="e">
        <f>IF(AND(N91=0.75,($P91="TRUE")),ABS('Per Diem Calc Tool'!$S91*0.75),IF($P91="TRUE",ABS('Per Diem Calc Tool'!$S91),""))</f>
        <v>#REF!</v>
      </c>
      <c r="Z91" s="170" t="e">
        <f>IF(AND(N91=0.75,($Q91="TRUE")),ABS('Per Diem Calc Tool'!$T91*0.75),IF($Q91="TRUE",ABS('Per Diem Calc Tool'!$T91),""))</f>
        <v>#REF!</v>
      </c>
    </row>
    <row r="92" spans="1:26" ht="15" customHeight="1">
      <c r="A92" s="32"/>
      <c r="B92" s="228"/>
      <c r="C92" s="228"/>
      <c r="D92" s="228"/>
      <c r="E92" s="33"/>
      <c r="F92" s="208"/>
      <c r="G92" s="208"/>
      <c r="H92" s="208"/>
      <c r="I92" s="208"/>
      <c r="J92" s="37"/>
      <c r="K92" s="231" t="str">
        <f t="shared" si="8"/>
        <v>NO</v>
      </c>
      <c r="L92" s="188"/>
      <c r="N92" s="235"/>
      <c r="O92" s="236"/>
      <c r="P92" s="236"/>
      <c r="Q92" s="236"/>
      <c r="R92" s="237">
        <f t="shared" si="5"/>
        <v>0</v>
      </c>
      <c r="S92" s="237">
        <f t="shared" si="6"/>
        <v>0</v>
      </c>
      <c r="T92" s="237">
        <f t="shared" si="7"/>
        <v>0</v>
      </c>
      <c r="U92" s="238" t="e">
        <f>(VLOOKUP($P$9,Per_diem_table,1)*N92)-SUM((X92,Y92,Z92))</f>
        <v>#REF!</v>
      </c>
      <c r="V92" s="237"/>
      <c r="X92" s="170">
        <f>IF(AND(N92=0.75,($O92="TRUE")),ABS('Per Diem Calc Tool'!$R92*0.75),IF($O92="TRUE",ABS('Per Diem Calc Tool'!$R92),""))</f>
      </c>
      <c r="Y92" s="170">
        <f>IF(AND(N92=0.75,($P92="TRUE")),ABS('Per Diem Calc Tool'!$S92*0.75),IF($P92="TRUE",ABS('Per Diem Calc Tool'!$S92),""))</f>
      </c>
      <c r="Z92" s="170">
        <f>IF(AND(N92=0.75,($Q92="TRUE")),ABS('Per Diem Calc Tool'!$T92*0.75),IF($Q92="TRUE",ABS('Per Diem Calc Tool'!$T92),""))</f>
      </c>
    </row>
    <row r="93" spans="1:26" ht="15" customHeight="1">
      <c r="A93" s="32"/>
      <c r="B93" s="228"/>
      <c r="C93" s="228"/>
      <c r="D93" s="228"/>
      <c r="E93" s="33"/>
      <c r="F93" s="208"/>
      <c r="G93" s="208"/>
      <c r="H93" s="208"/>
      <c r="I93" s="208"/>
      <c r="J93" s="37"/>
      <c r="K93" s="231" t="str">
        <f t="shared" si="8"/>
        <v>NO</v>
      </c>
      <c r="L93" s="188"/>
      <c r="N93" s="235"/>
      <c r="O93" s="236"/>
      <c r="P93" s="236"/>
      <c r="Q93" s="236"/>
      <c r="R93" s="237">
        <f t="shared" si="5"/>
        <v>0</v>
      </c>
      <c r="S93" s="237">
        <f t="shared" si="6"/>
        <v>0</v>
      </c>
      <c r="T93" s="237">
        <f t="shared" si="7"/>
        <v>0</v>
      </c>
      <c r="U93" s="238" t="e">
        <f>(VLOOKUP($P$9,Per_diem_table,1)*N93)-SUM((X93,Y93,Z93))</f>
        <v>#REF!</v>
      </c>
      <c r="V93" s="237"/>
      <c r="X93" s="170">
        <f>IF(AND(N93=0.75,($O93="TRUE")),ABS('Per Diem Calc Tool'!$R93*0.75),IF($O93="TRUE",ABS('Per Diem Calc Tool'!$R93),""))</f>
      </c>
      <c r="Y93" s="170">
        <f>IF(AND(N93=0.75,($P93="TRUE")),ABS('Per Diem Calc Tool'!$S93*0.75),IF($P93="TRUE",ABS('Per Diem Calc Tool'!$S93),""))</f>
      </c>
      <c r="Z93" s="170">
        <f>IF(AND(N93=0.75,($Q93="TRUE")),ABS('Per Diem Calc Tool'!$T93*0.75),IF($Q93="TRUE",ABS('Per Diem Calc Tool'!$T93),""))</f>
      </c>
    </row>
    <row r="94" spans="1:26" ht="15" customHeight="1">
      <c r="A94" s="32"/>
      <c r="B94" s="228"/>
      <c r="C94" s="228"/>
      <c r="D94" s="228"/>
      <c r="E94" s="33"/>
      <c r="F94" s="208"/>
      <c r="G94" s="208"/>
      <c r="H94" s="208"/>
      <c r="I94" s="208"/>
      <c r="J94" s="37"/>
      <c r="K94" s="231" t="str">
        <f t="shared" si="8"/>
        <v>NO</v>
      </c>
      <c r="L94" s="188">
        <v>25</v>
      </c>
      <c r="M94" s="169" t="b">
        <f>+L94&lt;=$O$7</f>
        <v>0</v>
      </c>
      <c r="N94" s="235">
        <f>IF(L94=$O$7,0.75,1)</f>
        <v>1</v>
      </c>
      <c r="O94" s="236" t="e">
        <f>IF(B44="X","TRUE","FALSE")</f>
        <v>#REF!</v>
      </c>
      <c r="P94" s="236" t="e">
        <f>IF(C44="X","TRUE","FALSE")</f>
        <v>#REF!</v>
      </c>
      <c r="Q94" s="236" t="e">
        <f>IF(D44="X","TRUE","FALSE")</f>
        <v>#REF!</v>
      </c>
      <c r="R94" s="237" t="e">
        <f t="shared" si="5"/>
        <v>#REF!</v>
      </c>
      <c r="S94" s="237" t="e">
        <f t="shared" si="6"/>
        <v>#REF!</v>
      </c>
      <c r="T94" s="237" t="e">
        <f t="shared" si="7"/>
        <v>#REF!</v>
      </c>
      <c r="U94" s="238" t="e">
        <f>(VLOOKUP($P$9,Per_diem_table,1)*N94)-SUM((X94,Y94,Z94))</f>
        <v>#REF!</v>
      </c>
      <c r="V94" s="237" t="e">
        <f>IF(U94&lt;5,5,U94)</f>
        <v>#REF!</v>
      </c>
      <c r="X94" s="170" t="e">
        <f>IF(AND(N94=0.75,($O94="TRUE")),ABS('Per Diem Calc Tool'!$R94*0.75),IF($O94="TRUE",ABS('Per Diem Calc Tool'!$R94),""))</f>
        <v>#REF!</v>
      </c>
      <c r="Y94" s="170" t="e">
        <f>IF(AND(N94=0.75,($P94="TRUE")),ABS('Per Diem Calc Tool'!$S94*0.75),IF($P94="TRUE",ABS('Per Diem Calc Tool'!$S94),""))</f>
        <v>#REF!</v>
      </c>
      <c r="Z94" s="170" t="e">
        <f>IF(AND(N94=0.75,($Q94="TRUE")),ABS('Per Diem Calc Tool'!$T94*0.75),IF($Q94="TRUE",ABS('Per Diem Calc Tool'!$T94),""))</f>
        <v>#REF!</v>
      </c>
    </row>
    <row r="95" spans="1:26" ht="15" customHeight="1">
      <c r="A95" s="32"/>
      <c r="B95" s="228"/>
      <c r="C95" s="228"/>
      <c r="D95" s="228"/>
      <c r="E95" s="33"/>
      <c r="F95" s="208"/>
      <c r="G95" s="208"/>
      <c r="H95" s="208"/>
      <c r="I95" s="208"/>
      <c r="J95" s="37"/>
      <c r="K95" s="231" t="str">
        <f t="shared" si="8"/>
        <v>NO</v>
      </c>
      <c r="L95" s="188"/>
      <c r="N95" s="235"/>
      <c r="O95" s="236"/>
      <c r="P95" s="236"/>
      <c r="Q95" s="236"/>
      <c r="R95" s="237">
        <f t="shared" si="5"/>
        <v>0</v>
      </c>
      <c r="S95" s="237">
        <f t="shared" si="6"/>
        <v>0</v>
      </c>
      <c r="T95" s="237">
        <f t="shared" si="7"/>
        <v>0</v>
      </c>
      <c r="U95" s="238" t="e">
        <f>(VLOOKUP($P$9,Per_diem_table,1)*N95)-SUM((X95,Y95,Z95))</f>
        <v>#REF!</v>
      </c>
      <c r="V95" s="237"/>
      <c r="X95" s="170">
        <f>IF(AND(N95=0.75,($O95="TRUE")),ABS('Per Diem Calc Tool'!$R95*0.75),IF($O95="TRUE",ABS('Per Diem Calc Tool'!$R95),""))</f>
      </c>
      <c r="Y95" s="170">
        <f>IF(AND(N95=0.75,($P95="TRUE")),ABS('Per Diem Calc Tool'!$S95*0.75),IF($P95="TRUE",ABS('Per Diem Calc Tool'!$S95),""))</f>
      </c>
      <c r="Z95" s="170">
        <f>IF(AND(N95=0.75,($Q95="TRUE")),ABS('Per Diem Calc Tool'!$T95*0.75),IF($Q95="TRUE",ABS('Per Diem Calc Tool'!$T95),""))</f>
      </c>
    </row>
    <row r="96" spans="1:26" ht="15" customHeight="1">
      <c r="A96" s="32"/>
      <c r="B96" s="228"/>
      <c r="C96" s="228"/>
      <c r="D96" s="228"/>
      <c r="E96" s="33"/>
      <c r="F96" s="208"/>
      <c r="G96" s="208"/>
      <c r="H96" s="208"/>
      <c r="I96" s="208"/>
      <c r="J96" s="37"/>
      <c r="K96" s="231" t="str">
        <f t="shared" si="8"/>
        <v>NO</v>
      </c>
      <c r="L96" s="188"/>
      <c r="N96" s="235"/>
      <c r="O96" s="236"/>
      <c r="P96" s="236"/>
      <c r="Q96" s="236"/>
      <c r="R96" s="237">
        <f t="shared" si="5"/>
        <v>0</v>
      </c>
      <c r="S96" s="237">
        <f t="shared" si="6"/>
        <v>0</v>
      </c>
      <c r="T96" s="237">
        <f t="shared" si="7"/>
        <v>0</v>
      </c>
      <c r="U96" s="238" t="e">
        <f>(VLOOKUP($P$9,Per_diem_table,1)*N96)-SUM((X96,Y96,Z96))</f>
        <v>#REF!</v>
      </c>
      <c r="V96" s="237"/>
      <c r="X96" s="170">
        <f>IF(AND(N96=0.75,($O96="TRUE")),ABS('Per Diem Calc Tool'!$R96*0.75),IF($O96="TRUE",ABS('Per Diem Calc Tool'!$R96),""))</f>
      </c>
      <c r="Y96" s="170">
        <f>IF(AND(N96=0.75,($P96="TRUE")),ABS('Per Diem Calc Tool'!$S96*0.75),IF($P96="TRUE",ABS('Per Diem Calc Tool'!$S96),""))</f>
      </c>
      <c r="Z96" s="170">
        <f>IF(AND(N96=0.75,($Q96="TRUE")),ABS('Per Diem Calc Tool'!$T96*0.75),IF($Q96="TRUE",ABS('Per Diem Calc Tool'!$T96),""))</f>
      </c>
    </row>
    <row r="97" spans="1:26" ht="15" customHeight="1">
      <c r="A97" s="32"/>
      <c r="B97" s="228"/>
      <c r="C97" s="228"/>
      <c r="D97" s="228"/>
      <c r="E97" s="33"/>
      <c r="F97" s="208"/>
      <c r="G97" s="208"/>
      <c r="H97" s="208"/>
      <c r="I97" s="208"/>
      <c r="J97" s="37"/>
      <c r="K97" s="231" t="str">
        <f t="shared" si="8"/>
        <v>NO</v>
      </c>
      <c r="L97" s="188">
        <v>26</v>
      </c>
      <c r="M97" s="169" t="b">
        <f>+L97&lt;=$O$7</f>
        <v>0</v>
      </c>
      <c r="N97" s="235">
        <f>IF(L97=$O$7,0.75,1)</f>
        <v>1</v>
      </c>
      <c r="O97" s="236" t="e">
        <f>IF(B45="X","TRUE","FALSE")</f>
        <v>#REF!</v>
      </c>
      <c r="P97" s="236" t="e">
        <f>IF(C45="X","TRUE","FALSE")</f>
        <v>#REF!</v>
      </c>
      <c r="Q97" s="236" t="e">
        <f>IF(D45="X","TRUE","FALSE")</f>
        <v>#REF!</v>
      </c>
      <c r="R97" s="237" t="e">
        <f t="shared" si="5"/>
        <v>#REF!</v>
      </c>
      <c r="S97" s="237" t="e">
        <f t="shared" si="6"/>
        <v>#REF!</v>
      </c>
      <c r="T97" s="237" t="e">
        <f t="shared" si="7"/>
        <v>#REF!</v>
      </c>
      <c r="U97" s="238" t="e">
        <f>(VLOOKUP($P$9,Per_diem_table,1)*N97)-SUM((X97,Y97,Z97))</f>
        <v>#REF!</v>
      </c>
      <c r="V97" s="237" t="e">
        <f>IF(U97&lt;5,5,U97)</f>
        <v>#REF!</v>
      </c>
      <c r="X97" s="170" t="e">
        <f>IF(AND(N97=0.75,($O97="TRUE")),ABS('Per Diem Calc Tool'!$R97*0.75),IF($O97="TRUE",ABS('Per Diem Calc Tool'!$R97),""))</f>
        <v>#REF!</v>
      </c>
      <c r="Y97" s="170" t="e">
        <f>IF(AND(N97=0.75,($P97="TRUE")),ABS('Per Diem Calc Tool'!$S97*0.75),IF($P97="TRUE",ABS('Per Diem Calc Tool'!$S97),""))</f>
        <v>#REF!</v>
      </c>
      <c r="Z97" s="170" t="e">
        <f>IF(AND(N97=0.75,($Q97="TRUE")),ABS('Per Diem Calc Tool'!$T97*0.75),IF($Q97="TRUE",ABS('Per Diem Calc Tool'!$T97),""))</f>
        <v>#REF!</v>
      </c>
    </row>
    <row r="98" spans="1:26" ht="15" customHeight="1">
      <c r="A98" s="32"/>
      <c r="B98" s="228"/>
      <c r="C98" s="228"/>
      <c r="D98" s="228"/>
      <c r="E98" s="33"/>
      <c r="F98" s="208"/>
      <c r="G98" s="208"/>
      <c r="H98" s="208"/>
      <c r="I98" s="208"/>
      <c r="J98" s="37"/>
      <c r="K98" s="231" t="str">
        <f t="shared" si="8"/>
        <v>NO</v>
      </c>
      <c r="L98" s="188"/>
      <c r="N98" s="235"/>
      <c r="O98" s="236"/>
      <c r="P98" s="236"/>
      <c r="Q98" s="236"/>
      <c r="R98" s="237">
        <f t="shared" si="5"/>
        <v>0</v>
      </c>
      <c r="S98" s="237">
        <f t="shared" si="6"/>
        <v>0</v>
      </c>
      <c r="T98" s="237">
        <f t="shared" si="7"/>
        <v>0</v>
      </c>
      <c r="U98" s="238" t="e">
        <f>(VLOOKUP($P$9,Per_diem_table,1)*N98)-SUM((X98,Y98,Z98))</f>
        <v>#REF!</v>
      </c>
      <c r="V98" s="237"/>
      <c r="X98" s="170">
        <f>IF(AND(N98=0.75,($O98="TRUE")),ABS('Per Diem Calc Tool'!$R98*0.75),IF($O98="TRUE",ABS('Per Diem Calc Tool'!$R98),""))</f>
      </c>
      <c r="Y98" s="170">
        <f>IF(AND(N98=0.75,($P98="TRUE")),ABS('Per Diem Calc Tool'!$S98*0.75),IF($P98="TRUE",ABS('Per Diem Calc Tool'!$S98),""))</f>
      </c>
      <c r="Z98" s="170">
        <f>IF(AND(N98=0.75,($Q98="TRUE")),ABS('Per Diem Calc Tool'!$T98*0.75),IF($Q98="TRUE",ABS('Per Diem Calc Tool'!$T98),""))</f>
      </c>
    </row>
    <row r="99" spans="1:26" ht="15" customHeight="1">
      <c r="A99" s="32"/>
      <c r="B99" s="228"/>
      <c r="C99" s="228"/>
      <c r="D99" s="228"/>
      <c r="E99" s="33"/>
      <c r="F99" s="208"/>
      <c r="G99" s="208"/>
      <c r="H99" s="208"/>
      <c r="I99" s="208"/>
      <c r="J99" s="37"/>
      <c r="K99" s="231" t="str">
        <f t="shared" si="8"/>
        <v>NO</v>
      </c>
      <c r="L99" s="188"/>
      <c r="N99" s="235"/>
      <c r="O99" s="236"/>
      <c r="P99" s="236"/>
      <c r="Q99" s="236"/>
      <c r="R99" s="237">
        <f t="shared" si="5"/>
        <v>0</v>
      </c>
      <c r="S99" s="237">
        <f t="shared" si="6"/>
        <v>0</v>
      </c>
      <c r="T99" s="237">
        <f t="shared" si="7"/>
        <v>0</v>
      </c>
      <c r="U99" s="238" t="e">
        <f>(VLOOKUP($P$9,Per_diem_table,1)*N99)-SUM((X99,Y99,Z99))</f>
        <v>#REF!</v>
      </c>
      <c r="V99" s="237"/>
      <c r="X99" s="170">
        <f>IF(AND(N99=0.75,($O99="TRUE")),ABS('Per Diem Calc Tool'!$R99*0.75),IF($O99="TRUE",ABS('Per Diem Calc Tool'!$R99),""))</f>
      </c>
      <c r="Y99" s="170">
        <f>IF(AND(N99=0.75,($P99="TRUE")),ABS('Per Diem Calc Tool'!$S99*0.75),IF($P99="TRUE",ABS('Per Diem Calc Tool'!$S99),""))</f>
      </c>
      <c r="Z99" s="170">
        <f>IF(AND(N99=0.75,($Q99="TRUE")),ABS('Per Diem Calc Tool'!$T99*0.75),IF($Q99="TRUE",ABS('Per Diem Calc Tool'!$T99),""))</f>
      </c>
    </row>
    <row r="100" spans="1:26" ht="15" customHeight="1">
      <c r="A100" s="32"/>
      <c r="B100" s="228"/>
      <c r="C100" s="228"/>
      <c r="D100" s="228"/>
      <c r="E100" s="33"/>
      <c r="F100" s="208"/>
      <c r="G100" s="208"/>
      <c r="H100" s="208"/>
      <c r="I100" s="208"/>
      <c r="J100" s="37"/>
      <c r="K100" s="231" t="str">
        <f t="shared" si="8"/>
        <v>NO</v>
      </c>
      <c r="L100" s="188">
        <v>27</v>
      </c>
      <c r="M100" s="169" t="b">
        <f>+L100&lt;=$O$7</f>
        <v>0</v>
      </c>
      <c r="N100" s="235">
        <f>IF(L100=$O$7,0.75,1)</f>
        <v>1</v>
      </c>
      <c r="O100" s="236" t="e">
        <f>IF(B46="X","TRUE","FALSE")</f>
        <v>#REF!</v>
      </c>
      <c r="P100" s="236" t="e">
        <f>IF(C46="X","TRUE","FALSE")</f>
        <v>#REF!</v>
      </c>
      <c r="Q100" s="236" t="e">
        <f>IF(D46="X","TRUE","FALSE")</f>
        <v>#REF!</v>
      </c>
      <c r="R100" s="237" t="e">
        <f t="shared" si="5"/>
        <v>#REF!</v>
      </c>
      <c r="S100" s="237" t="e">
        <f t="shared" si="6"/>
        <v>#REF!</v>
      </c>
      <c r="T100" s="237" t="e">
        <f t="shared" si="7"/>
        <v>#REF!</v>
      </c>
      <c r="U100" s="238" t="e">
        <f>(VLOOKUP($P$9,Per_diem_table,1)*N100)-SUM((X100,Y100,Z100))</f>
        <v>#REF!</v>
      </c>
      <c r="V100" s="237" t="e">
        <f>IF(U100&lt;5,5,U100)</f>
        <v>#REF!</v>
      </c>
      <c r="X100" s="170" t="e">
        <f>IF(AND(N100=0.75,($O100="TRUE")),ABS('Per Diem Calc Tool'!$R100*0.75),IF($O100="TRUE",ABS('Per Diem Calc Tool'!$R100),""))</f>
        <v>#REF!</v>
      </c>
      <c r="Y100" s="170" t="e">
        <f>IF(AND(N100=0.75,($P100="TRUE")),ABS('Per Diem Calc Tool'!$S100*0.75),IF($P100="TRUE",ABS('Per Diem Calc Tool'!$S100),""))</f>
        <v>#REF!</v>
      </c>
      <c r="Z100" s="170" t="e">
        <f>IF(AND(N100=0.75,($Q100="TRUE")),ABS('Per Diem Calc Tool'!$T100*0.75),IF($Q100="TRUE",ABS('Per Diem Calc Tool'!$T100),""))</f>
        <v>#REF!</v>
      </c>
    </row>
    <row r="101" spans="1:26" ht="15" customHeight="1">
      <c r="A101" s="32"/>
      <c r="B101" s="228"/>
      <c r="C101" s="228"/>
      <c r="D101" s="228"/>
      <c r="E101" s="33"/>
      <c r="F101" s="208"/>
      <c r="G101" s="208"/>
      <c r="H101" s="208"/>
      <c r="I101" s="208"/>
      <c r="J101" s="37"/>
      <c r="K101" s="231" t="str">
        <f t="shared" si="8"/>
        <v>NO</v>
      </c>
      <c r="L101" s="188"/>
      <c r="N101" s="235"/>
      <c r="O101" s="236"/>
      <c r="P101" s="236"/>
      <c r="Q101" s="236"/>
      <c r="R101" s="237">
        <f t="shared" si="5"/>
        <v>0</v>
      </c>
      <c r="S101" s="237">
        <f t="shared" si="6"/>
        <v>0</v>
      </c>
      <c r="T101" s="237">
        <f t="shared" si="7"/>
        <v>0</v>
      </c>
      <c r="U101" s="238" t="e">
        <f>(VLOOKUP($P$9,Per_diem_table,1)*N101)-SUM((X101,Y101,Z101))</f>
        <v>#REF!</v>
      </c>
      <c r="V101" s="237"/>
      <c r="X101" s="170">
        <f>IF(AND(N101=0.75,($O101="TRUE")),ABS('Per Diem Calc Tool'!$R101*0.75),IF($O101="TRUE",ABS('Per Diem Calc Tool'!$R101),""))</f>
      </c>
      <c r="Y101" s="170">
        <f>IF(AND(N101=0.75,($P101="TRUE")),ABS('Per Diem Calc Tool'!$S101*0.75),IF($P101="TRUE",ABS('Per Diem Calc Tool'!$S101),""))</f>
      </c>
      <c r="Z101" s="170">
        <f>IF(AND(N101=0.75,($Q101="TRUE")),ABS('Per Diem Calc Tool'!$T101*0.75),IF($Q101="TRUE",ABS('Per Diem Calc Tool'!$T101),""))</f>
      </c>
    </row>
    <row r="102" spans="1:26" ht="13.5" customHeight="1">
      <c r="A102" s="32"/>
      <c r="B102" s="228"/>
      <c r="C102" s="228"/>
      <c r="D102" s="228"/>
      <c r="E102" s="33"/>
      <c r="F102" s="208"/>
      <c r="G102" s="208"/>
      <c r="H102" s="208"/>
      <c r="I102" s="208"/>
      <c r="J102" s="37"/>
      <c r="K102" s="231" t="str">
        <f t="shared" si="8"/>
        <v>NO</v>
      </c>
      <c r="L102" s="188"/>
      <c r="N102" s="235"/>
      <c r="O102" s="236"/>
      <c r="P102" s="236"/>
      <c r="Q102" s="236"/>
      <c r="R102" s="237">
        <f t="shared" si="5"/>
        <v>0</v>
      </c>
      <c r="S102" s="237">
        <f t="shared" si="6"/>
        <v>0</v>
      </c>
      <c r="T102" s="237">
        <f t="shared" si="7"/>
        <v>0</v>
      </c>
      <c r="U102" s="238" t="e">
        <f>(VLOOKUP($P$9,Per_diem_table,1)*N102)-SUM((X102,Y102,Z102))</f>
        <v>#REF!</v>
      </c>
      <c r="V102" s="237"/>
      <c r="X102" s="170">
        <f>IF(AND(N102=0.75,($O102="TRUE")),ABS('Per Diem Calc Tool'!$R102*0.75),IF($O102="TRUE",ABS('Per Diem Calc Tool'!$R102),""))</f>
      </c>
      <c r="Y102" s="170">
        <f>IF(AND(N102=0.75,($P102="TRUE")),ABS('Per Diem Calc Tool'!$S102*0.75),IF($P102="TRUE",ABS('Per Diem Calc Tool'!$S102),""))</f>
      </c>
      <c r="Z102" s="170">
        <f>IF(AND(N102=0.75,($Q102="TRUE")),ABS('Per Diem Calc Tool'!$T102*0.75),IF($Q102="TRUE",ABS('Per Diem Calc Tool'!$T102),""))</f>
      </c>
    </row>
    <row r="103" spans="1:26" ht="138.75" customHeight="1">
      <c r="A103" s="39"/>
      <c r="B103" s="228"/>
      <c r="C103" s="40"/>
      <c r="D103" s="228"/>
      <c r="E103" s="58" t="e">
        <f>SUM(E19:E102)</f>
        <v>#REF!</v>
      </c>
      <c r="F103" s="208"/>
      <c r="G103" s="208"/>
      <c r="H103" s="208"/>
      <c r="I103" s="208"/>
      <c r="J103" s="37"/>
      <c r="K103" s="240" t="s">
        <v>99</v>
      </c>
      <c r="L103" s="188">
        <v>28</v>
      </c>
      <c r="M103" s="169" t="b">
        <f>+L103&lt;=$O$7</f>
        <v>0</v>
      </c>
      <c r="N103" s="235">
        <f>IF(L103=$O$7,0.75,1)</f>
        <v>1</v>
      </c>
      <c r="O103" s="236" t="e">
        <f>IF(B47="X","TRUE","FALSE")</f>
        <v>#REF!</v>
      </c>
      <c r="P103" s="236" t="e">
        <f>IF(C47="X","TRUE","FALSE")</f>
        <v>#REF!</v>
      </c>
      <c r="Q103" s="236" t="e">
        <f>IF(D47="X","TRUE","FALSE")</f>
        <v>#REF!</v>
      </c>
      <c r="R103" s="237" t="e">
        <f t="shared" si="5"/>
        <v>#REF!</v>
      </c>
      <c r="S103" s="237" t="e">
        <f t="shared" si="6"/>
        <v>#REF!</v>
      </c>
      <c r="T103" s="237" t="e">
        <f t="shared" si="7"/>
        <v>#REF!</v>
      </c>
      <c r="U103" s="238" t="e">
        <f>(VLOOKUP($P$9,Per_diem_table,1)*N103)-SUM((X103,Y103,Z103))</f>
        <v>#REF!</v>
      </c>
      <c r="V103" s="237" t="e">
        <f>IF(U103&lt;5,5,U103)</f>
        <v>#REF!</v>
      </c>
      <c r="X103" s="170" t="e">
        <f>IF(AND(N103=0.75,($O103="TRUE")),ABS('Per Diem Calc Tool'!$R103*0.75),IF($O103="TRUE",ABS('Per Diem Calc Tool'!$R103),""))</f>
        <v>#REF!</v>
      </c>
      <c r="Y103" s="170" t="e">
        <f>IF(AND(N103=0.75,($P103="TRUE")),ABS('Per Diem Calc Tool'!$S103*0.75),IF($P103="TRUE",ABS('Per Diem Calc Tool'!$S103),""))</f>
        <v>#REF!</v>
      </c>
      <c r="Z103" s="170" t="e">
        <f>IF(AND(N103=0.75,($Q103="TRUE")),ABS('Per Diem Calc Tool'!$T103*0.75),IF($Q103="TRUE",ABS('Per Diem Calc Tool'!$T103),""))</f>
        <v>#REF!</v>
      </c>
    </row>
    <row r="104" spans="1:26" ht="15" customHeight="1">
      <c r="A104" s="691"/>
      <c r="B104" s="691"/>
      <c r="C104" s="691"/>
      <c r="D104" s="691"/>
      <c r="E104" s="60" t="e">
        <f>SUM(E19:E102)</f>
        <v>#REF!</v>
      </c>
      <c r="F104" s="208"/>
      <c r="G104" s="208"/>
      <c r="H104" s="208"/>
      <c r="I104" s="208"/>
      <c r="J104" s="37"/>
      <c r="K104" s="169" t="s">
        <v>99</v>
      </c>
      <c r="L104" s="188"/>
      <c r="N104" s="235"/>
      <c r="O104" s="236"/>
      <c r="P104" s="236"/>
      <c r="Q104" s="236"/>
      <c r="R104" s="237">
        <f t="shared" si="5"/>
        <v>0</v>
      </c>
      <c r="S104" s="237">
        <f t="shared" si="6"/>
        <v>0</v>
      </c>
      <c r="T104" s="237">
        <f t="shared" si="7"/>
        <v>0</v>
      </c>
      <c r="U104" s="238" t="e">
        <f>(VLOOKUP($P$9,Per_diem_table,1)*N104)-SUM((X104,Y104,Z104))</f>
        <v>#REF!</v>
      </c>
      <c r="V104" s="237"/>
      <c r="X104" s="170">
        <f>IF(AND(N104=0.75,($O104="TRUE")),ABS('Per Diem Calc Tool'!$R104*0.75),IF($O104="TRUE",ABS('Per Diem Calc Tool'!$R104),""))</f>
      </c>
      <c r="Y104" s="170">
        <f>IF(AND(N104=0.75,($P104="TRUE")),ABS('Per Diem Calc Tool'!$S104*0.75),IF($P104="TRUE",ABS('Per Diem Calc Tool'!$S104),""))</f>
      </c>
      <c r="Z104" s="170">
        <f>IF(AND(N104=0.75,($Q104="TRUE")),ABS('Per Diem Calc Tool'!$T104*0.75),IF($Q104="TRUE",ABS('Per Diem Calc Tool'!$T104),""))</f>
      </c>
    </row>
    <row r="105" spans="6:26" ht="15" customHeight="1">
      <c r="F105" s="208"/>
      <c r="G105" s="208"/>
      <c r="H105" s="208"/>
      <c r="I105" s="208"/>
      <c r="J105" s="37"/>
      <c r="L105" s="188"/>
      <c r="N105" s="235"/>
      <c r="O105" s="236"/>
      <c r="P105" s="236"/>
      <c r="Q105" s="236"/>
      <c r="R105" s="237">
        <f t="shared" si="5"/>
        <v>0</v>
      </c>
      <c r="S105" s="237">
        <f t="shared" si="6"/>
        <v>0</v>
      </c>
      <c r="T105" s="237">
        <f t="shared" si="7"/>
        <v>0</v>
      </c>
      <c r="U105" s="238" t="e">
        <f>(VLOOKUP($P$9,Per_diem_table,1)*N105)-SUM((X105,Y105,Z105))</f>
        <v>#REF!</v>
      </c>
      <c r="V105" s="237"/>
      <c r="X105" s="170">
        <f>IF(AND(N105=0.75,($O105="TRUE")),ABS('Per Diem Calc Tool'!$R105*0.75),IF($O105="TRUE",ABS('Per Diem Calc Tool'!$R105),""))</f>
      </c>
      <c r="Y105" s="170">
        <f>IF(AND(N105=0.75,($P105="TRUE")),ABS('Per Diem Calc Tool'!$S105*0.75),IF($P105="TRUE",ABS('Per Diem Calc Tool'!$S105),""))</f>
      </c>
      <c r="Z105" s="170">
        <f>IF(AND(N105=0.75,($Q105="TRUE")),ABS('Per Diem Calc Tool'!$T105*0.75),IF($Q105="TRUE",ABS('Per Diem Calc Tool'!$T105),""))</f>
      </c>
    </row>
    <row r="106" spans="2:26" ht="15" customHeight="1">
      <c r="B106" s="44"/>
      <c r="C106" s="44"/>
      <c r="F106" s="208"/>
      <c r="G106" s="208"/>
      <c r="H106" s="208"/>
      <c r="I106" s="208"/>
      <c r="J106" s="37"/>
      <c r="L106" s="188">
        <v>29</v>
      </c>
      <c r="M106" s="169" t="b">
        <f>+L106&lt;=$O$7</f>
        <v>0</v>
      </c>
      <c r="N106" s="235">
        <f>IF(L106=$O$7,0.75,1)</f>
        <v>1</v>
      </c>
      <c r="O106" s="236" t="e">
        <f>IF(B48="X","TRUE","FALSE")</f>
        <v>#REF!</v>
      </c>
      <c r="P106" s="236" t="e">
        <f>IF(C48="X","TRUE","FALSE")</f>
        <v>#REF!</v>
      </c>
      <c r="Q106" s="236" t="e">
        <f>IF(D48="X","TRUE","FALSE")</f>
        <v>#REF!</v>
      </c>
      <c r="R106" s="237" t="e">
        <f t="shared" si="5"/>
        <v>#REF!</v>
      </c>
      <c r="S106" s="237" t="e">
        <f t="shared" si="6"/>
        <v>#REF!</v>
      </c>
      <c r="T106" s="237" t="e">
        <f t="shared" si="7"/>
        <v>#REF!</v>
      </c>
      <c r="U106" s="238" t="e">
        <f>(VLOOKUP($P$9,Per_diem_table,1)*N106)-SUM((X106,Y106,Z106))</f>
        <v>#REF!</v>
      </c>
      <c r="V106" s="237" t="e">
        <f>IF(U106&lt;5,5,U106)</f>
        <v>#REF!</v>
      </c>
      <c r="X106" s="170" t="e">
        <f>IF(AND(N106=0.75,($O106="TRUE")),ABS('Per Diem Calc Tool'!$R106*0.75),IF($O106="TRUE",ABS('Per Diem Calc Tool'!$R106),""))</f>
        <v>#REF!</v>
      </c>
      <c r="Y106" s="170" t="e">
        <f>IF(AND(N106=0.75,($P106="TRUE")),ABS('Per Diem Calc Tool'!$S106*0.75),IF($P106="TRUE",ABS('Per Diem Calc Tool'!$S106),""))</f>
        <v>#REF!</v>
      </c>
      <c r="Z106" s="170" t="e">
        <f>IF(AND(N106=0.75,($Q106="TRUE")),ABS('Per Diem Calc Tool'!$T106*0.75),IF($Q106="TRUE",ABS('Per Diem Calc Tool'!$T106),""))</f>
        <v>#REF!</v>
      </c>
    </row>
    <row r="107" spans="2:26" ht="15" customHeight="1">
      <c r="B107" s="44"/>
      <c r="C107" s="44"/>
      <c r="F107" s="208"/>
      <c r="G107" s="208"/>
      <c r="H107" s="208"/>
      <c r="I107" s="208"/>
      <c r="J107" s="37"/>
      <c r="L107" s="188"/>
      <c r="N107" s="235"/>
      <c r="O107" s="236"/>
      <c r="P107" s="236"/>
      <c r="Q107" s="236"/>
      <c r="R107" s="237">
        <f t="shared" si="5"/>
        <v>0</v>
      </c>
      <c r="S107" s="237">
        <f t="shared" si="6"/>
        <v>0</v>
      </c>
      <c r="T107" s="237">
        <f t="shared" si="7"/>
        <v>0</v>
      </c>
      <c r="U107" s="238" t="e">
        <f>(VLOOKUP($P$9,Per_diem_table,1)*N107)-SUM((X107,Y107,Z107))</f>
        <v>#REF!</v>
      </c>
      <c r="V107" s="237"/>
      <c r="X107" s="170">
        <f>IF(AND(N107=0.75,($O107="TRUE")),ABS('Per Diem Calc Tool'!$R107*0.75),IF($O107="TRUE",ABS('Per Diem Calc Tool'!$R107),""))</f>
      </c>
      <c r="Y107" s="170">
        <f>IF(AND(N107=0.75,($P107="TRUE")),ABS('Per Diem Calc Tool'!$S107*0.75),IF($P107="TRUE",ABS('Per Diem Calc Tool'!$S107),""))</f>
      </c>
      <c r="Z107" s="170">
        <f>IF(AND(N107=0.75,($Q107="TRUE")),ABS('Per Diem Calc Tool'!$T107*0.75),IF($Q107="TRUE",ABS('Per Diem Calc Tool'!$T107),""))</f>
      </c>
    </row>
    <row r="108" spans="2:26" ht="15" customHeight="1">
      <c r="B108" s="44"/>
      <c r="C108" s="44"/>
      <c r="F108" s="208"/>
      <c r="G108" s="208"/>
      <c r="H108" s="208"/>
      <c r="I108" s="208"/>
      <c r="J108" s="37"/>
      <c r="L108" s="188"/>
      <c r="N108" s="235"/>
      <c r="O108" s="236"/>
      <c r="P108" s="236"/>
      <c r="Q108" s="236"/>
      <c r="R108" s="237">
        <f t="shared" si="5"/>
        <v>0</v>
      </c>
      <c r="S108" s="237">
        <f t="shared" si="6"/>
        <v>0</v>
      </c>
      <c r="T108" s="237">
        <f t="shared" si="7"/>
        <v>0</v>
      </c>
      <c r="U108" s="238" t="e">
        <f>(VLOOKUP($P$9,Per_diem_table,1)*N108)-SUM((X108,Y108,Z108))</f>
        <v>#REF!</v>
      </c>
      <c r="V108" s="237"/>
      <c r="X108" s="170">
        <f>IF(AND(N108=0.75,($O108="TRUE")),ABS('Per Diem Calc Tool'!$R108*0.75),IF($O108="TRUE",ABS('Per Diem Calc Tool'!$R108),""))</f>
      </c>
      <c r="Y108" s="170">
        <f>IF(AND(N108=0.75,($P108="TRUE")),ABS('Per Diem Calc Tool'!$S108*0.75),IF($P108="TRUE",ABS('Per Diem Calc Tool'!$S108),""))</f>
      </c>
      <c r="Z108" s="170">
        <f>IF(AND(N108=0.75,($Q108="TRUE")),ABS('Per Diem Calc Tool'!$T108*0.75),IF($Q108="TRUE",ABS('Per Diem Calc Tool'!$T108),""))</f>
      </c>
    </row>
    <row r="109" spans="6:26" ht="15" customHeight="1">
      <c r="F109" s="208"/>
      <c r="G109" s="208"/>
      <c r="H109" s="208"/>
      <c r="I109" s="208"/>
      <c r="J109" s="37"/>
      <c r="L109" s="188">
        <v>30</v>
      </c>
      <c r="M109" s="169" t="b">
        <f>+L109&lt;=$O$7</f>
        <v>0</v>
      </c>
      <c r="N109" s="235">
        <f>IF(L109=$O$7,0.75,1)</f>
        <v>1</v>
      </c>
      <c r="O109" s="236" t="e">
        <f>IF(B49="X","TRUE","FALSE")</f>
        <v>#REF!</v>
      </c>
      <c r="P109" s="236" t="e">
        <f>IF(C49="X","TRUE","FALSE")</f>
        <v>#REF!</v>
      </c>
      <c r="Q109" s="236" t="e">
        <f>IF(D49="X","TRUE","FALSE")</f>
        <v>#REF!</v>
      </c>
      <c r="R109" s="237" t="e">
        <f t="shared" si="5"/>
        <v>#REF!</v>
      </c>
      <c r="S109" s="237" t="e">
        <f t="shared" si="6"/>
        <v>#REF!</v>
      </c>
      <c r="T109" s="237" t="e">
        <f t="shared" si="7"/>
        <v>#REF!</v>
      </c>
      <c r="U109" s="238" t="e">
        <f>(VLOOKUP($P$9,Per_diem_table,1)*N109)-SUM((X109,Y109,Z109))</f>
        <v>#REF!</v>
      </c>
      <c r="V109" s="237" t="e">
        <f>IF(U109&lt;5,5,U109)</f>
        <v>#REF!</v>
      </c>
      <c r="X109" s="170" t="e">
        <f>IF(AND(N109=0.75,($O109="TRUE")),ABS('Per Diem Calc Tool'!$R109*0.75),IF($O109="TRUE",ABS('Per Diem Calc Tool'!$R109),""))</f>
        <v>#REF!</v>
      </c>
      <c r="Y109" s="170" t="e">
        <f>IF(AND(N109=0.75,($P109="TRUE")),ABS('Per Diem Calc Tool'!$S109*0.75),IF($P109="TRUE",ABS('Per Diem Calc Tool'!$S109),""))</f>
        <v>#REF!</v>
      </c>
      <c r="Z109" s="170" t="e">
        <f>IF(AND(N109=0.75,($Q109="TRUE")),ABS('Per Diem Calc Tool'!$T109*0.75),IF($Q109="TRUE",ABS('Per Diem Calc Tool'!$T109),""))</f>
        <v>#REF!</v>
      </c>
    </row>
    <row r="110" spans="6:26" ht="15" customHeight="1">
      <c r="F110" s="208"/>
      <c r="G110" s="208"/>
      <c r="H110" s="208"/>
      <c r="I110" s="208"/>
      <c r="J110" s="37"/>
      <c r="L110" s="188"/>
      <c r="N110" s="235"/>
      <c r="O110" s="236"/>
      <c r="P110" s="236"/>
      <c r="Q110" s="236"/>
      <c r="R110" s="237">
        <f t="shared" si="5"/>
        <v>0</v>
      </c>
      <c r="S110" s="237">
        <f t="shared" si="6"/>
        <v>0</v>
      </c>
      <c r="T110" s="237">
        <f t="shared" si="7"/>
        <v>0</v>
      </c>
      <c r="U110" s="238" t="e">
        <f>(VLOOKUP($P$9,Per_diem_table,1)*N110)-SUM((X110,Y110,Z110))</f>
        <v>#REF!</v>
      </c>
      <c r="V110" s="237"/>
      <c r="X110" s="170">
        <f>IF(AND(N110=0.75,($O110="TRUE")),ABS('Per Diem Calc Tool'!$R110*0.75),IF($O110="TRUE",ABS('Per Diem Calc Tool'!$R110),""))</f>
      </c>
      <c r="Y110" s="170">
        <f>IF(AND(N110=0.75,($P110="TRUE")),ABS('Per Diem Calc Tool'!$S110*0.75),IF($P110="TRUE",ABS('Per Diem Calc Tool'!$S110),""))</f>
      </c>
      <c r="Z110" s="170">
        <f>IF(AND(N110=0.75,($Q110="TRUE")),ABS('Per Diem Calc Tool'!$T110*0.75),IF($Q110="TRUE",ABS('Per Diem Calc Tool'!$T110),""))</f>
      </c>
    </row>
    <row r="111" spans="6:26" ht="15" customHeight="1">
      <c r="F111" s="208"/>
      <c r="G111" s="208"/>
      <c r="H111" s="208"/>
      <c r="I111" s="208"/>
      <c r="J111" s="37"/>
      <c r="L111" s="188"/>
      <c r="N111" s="235"/>
      <c r="O111" s="236"/>
      <c r="P111" s="236"/>
      <c r="Q111" s="236"/>
      <c r="R111" s="237">
        <f t="shared" si="5"/>
        <v>0</v>
      </c>
      <c r="S111" s="237">
        <f t="shared" si="6"/>
        <v>0</v>
      </c>
      <c r="T111" s="237">
        <f t="shared" si="7"/>
        <v>0</v>
      </c>
      <c r="U111" s="238" t="e">
        <f>(VLOOKUP($P$9,Per_diem_table,1)*N111)-SUM((X111,Y111,Z111))</f>
        <v>#REF!</v>
      </c>
      <c r="V111" s="237"/>
      <c r="X111" s="170">
        <f>IF(AND(N111=0.75,($O111="TRUE")),ABS('Per Diem Calc Tool'!$R111*0.75),IF($O111="TRUE",ABS('Per Diem Calc Tool'!$R111),""))</f>
      </c>
      <c r="Y111" s="170">
        <f>IF(AND(N111=0.75,($P111="TRUE")),ABS('Per Diem Calc Tool'!$S111*0.75),IF($P111="TRUE",ABS('Per Diem Calc Tool'!$S111),""))</f>
      </c>
      <c r="Z111" s="170">
        <f>IF(AND(N111=0.75,($Q111="TRUE")),ABS('Per Diem Calc Tool'!$T111*0.75),IF($Q111="TRUE",ABS('Per Diem Calc Tool'!$T111),""))</f>
      </c>
    </row>
    <row r="112" spans="6:26" ht="15" customHeight="1">
      <c r="F112" s="208"/>
      <c r="G112" s="208"/>
      <c r="H112" s="208"/>
      <c r="I112" s="208"/>
      <c r="J112" s="37"/>
      <c r="L112" s="188">
        <v>31</v>
      </c>
      <c r="M112" s="169" t="b">
        <f>+L112&lt;=$O$7</f>
        <v>0</v>
      </c>
      <c r="N112" s="235">
        <f>IF(L112=$O$7,0.75,1)</f>
        <v>1</v>
      </c>
      <c r="O112" s="236" t="e">
        <f>IF(B50="X","TRUE","FALSE")</f>
        <v>#REF!</v>
      </c>
      <c r="P112" s="236" t="e">
        <f>IF(C50="X","TRUE","FALSE")</f>
        <v>#REF!</v>
      </c>
      <c r="Q112" s="236" t="e">
        <f>IF(D50="X","TRUE","FALSE")</f>
        <v>#REF!</v>
      </c>
      <c r="R112" s="237" t="e">
        <f t="shared" si="5"/>
        <v>#REF!</v>
      </c>
      <c r="S112" s="237" t="e">
        <f t="shared" si="6"/>
        <v>#REF!</v>
      </c>
      <c r="T112" s="237" t="e">
        <f t="shared" si="7"/>
        <v>#REF!</v>
      </c>
      <c r="U112" s="238" t="e">
        <f>(VLOOKUP($P$9,Per_diem_table,1)*N112)-SUM((X112,Y112,Z112))</f>
        <v>#REF!</v>
      </c>
      <c r="V112" s="237" t="e">
        <f>IF(U112&lt;5,5,U112)</f>
        <v>#REF!</v>
      </c>
      <c r="X112" s="170" t="e">
        <f>IF(AND(N112=0.75,($O112="TRUE")),ABS('Per Diem Calc Tool'!$R112*0.75),IF($O112="TRUE",ABS('Per Diem Calc Tool'!$R112),""))</f>
        <v>#REF!</v>
      </c>
      <c r="Y112" s="170" t="e">
        <f>IF(AND(N112=0.75,($P112="TRUE")),ABS('Per Diem Calc Tool'!$S112*0.75),IF($P112="TRUE",ABS('Per Diem Calc Tool'!$S112),""))</f>
        <v>#REF!</v>
      </c>
      <c r="Z112" s="170" t="e">
        <f>IF(AND(N112=0.75,($Q112="TRUE")),ABS('Per Diem Calc Tool'!$T112*0.75),IF($Q112="TRUE",ABS('Per Diem Calc Tool'!$T112),""))</f>
        <v>#REF!</v>
      </c>
    </row>
    <row r="113" spans="6:26" ht="15" customHeight="1">
      <c r="F113" s="208"/>
      <c r="G113" s="208"/>
      <c r="H113" s="208"/>
      <c r="I113" s="208"/>
      <c r="J113" s="37"/>
      <c r="L113" s="188"/>
      <c r="N113" s="235"/>
      <c r="O113" s="236"/>
      <c r="P113" s="236"/>
      <c r="Q113" s="236"/>
      <c r="R113" s="237">
        <f t="shared" si="5"/>
        <v>0</v>
      </c>
      <c r="S113" s="237">
        <f t="shared" si="6"/>
        <v>0</v>
      </c>
      <c r="T113" s="237">
        <f t="shared" si="7"/>
        <v>0</v>
      </c>
      <c r="U113" s="238" t="e">
        <f>(VLOOKUP($P$9,Per_diem_table,1)*N113)-SUM((X113,Y113,Z113))</f>
        <v>#REF!</v>
      </c>
      <c r="V113" s="237"/>
      <c r="X113" s="170">
        <f>IF(AND(N113=0.75,($O113="TRUE")),ABS('Per Diem Calc Tool'!$R113*0.75),IF($O113="TRUE",ABS('Per Diem Calc Tool'!$R113),""))</f>
      </c>
      <c r="Y113" s="170">
        <f>IF(AND(N113=0.75,($P113="TRUE")),ABS('Per Diem Calc Tool'!$S113*0.75),IF($P113="TRUE",ABS('Per Diem Calc Tool'!$S113),""))</f>
      </c>
      <c r="Z113" s="170">
        <f>IF(AND(N113=0.75,($Q113="TRUE")),ABS('Per Diem Calc Tool'!$T113*0.75),IF($Q113="TRUE",ABS('Per Diem Calc Tool'!$T113),""))</f>
      </c>
    </row>
    <row r="114" spans="6:26" ht="15" customHeight="1">
      <c r="F114" s="208"/>
      <c r="G114" s="208"/>
      <c r="H114" s="208"/>
      <c r="I114" s="208"/>
      <c r="J114" s="37"/>
      <c r="L114" s="188"/>
      <c r="N114" s="235"/>
      <c r="O114" s="236"/>
      <c r="P114" s="236"/>
      <c r="Q114" s="236"/>
      <c r="R114" s="237">
        <f t="shared" si="5"/>
        <v>0</v>
      </c>
      <c r="S114" s="237">
        <f t="shared" si="6"/>
        <v>0</v>
      </c>
      <c r="T114" s="237">
        <f t="shared" si="7"/>
        <v>0</v>
      </c>
      <c r="U114" s="238" t="e">
        <f>(VLOOKUP($P$9,Per_diem_table,1)*N114)-SUM((X114,Y114,Z114))</f>
        <v>#REF!</v>
      </c>
      <c r="V114" s="237"/>
      <c r="X114" s="170">
        <f>IF(AND(N114=0.75,($O114="TRUE")),ABS('Per Diem Calc Tool'!$R114*0.75),IF($O114="TRUE",ABS('Per Diem Calc Tool'!$R114),""))</f>
      </c>
      <c r="Y114" s="170">
        <f>IF(AND(N114=0.75,($P114="TRUE")),ABS('Per Diem Calc Tool'!$S114*0.75),IF($P114="TRUE",ABS('Per Diem Calc Tool'!$S114),""))</f>
      </c>
      <c r="Z114" s="170">
        <f>IF(AND(N114=0.75,($Q114="TRUE")),ABS('Per Diem Calc Tool'!$T114*0.75),IF($Q114="TRUE",ABS('Per Diem Calc Tool'!$T114),""))</f>
      </c>
    </row>
    <row r="115" spans="6:26" ht="15" customHeight="1">
      <c r="F115" s="208"/>
      <c r="G115" s="208"/>
      <c r="H115" s="208"/>
      <c r="I115" s="208"/>
      <c r="J115" s="37"/>
      <c r="L115" s="188">
        <v>32</v>
      </c>
      <c r="M115" s="169" t="b">
        <f>+L115&lt;=$O$7</f>
        <v>0</v>
      </c>
      <c r="N115" s="235">
        <f>IF(L115=$O$7,0.75,1)</f>
        <v>1</v>
      </c>
      <c r="O115" s="236" t="e">
        <f>IF(B51="X","TRUE","FALSE")</f>
        <v>#REF!</v>
      </c>
      <c r="P115" s="236" t="e">
        <f>IF(C51="X","TRUE","FALSE")</f>
        <v>#REF!</v>
      </c>
      <c r="Q115" s="236" t="e">
        <f>IF(D51="X","TRUE","FALSE")</f>
        <v>#REF!</v>
      </c>
      <c r="R115" s="237" t="e">
        <f t="shared" si="5"/>
        <v>#REF!</v>
      </c>
      <c r="S115" s="237" t="e">
        <f t="shared" si="6"/>
        <v>#REF!</v>
      </c>
      <c r="T115" s="237" t="e">
        <f t="shared" si="7"/>
        <v>#REF!</v>
      </c>
      <c r="U115" s="238" t="e">
        <f>(VLOOKUP($P$9,Per_diem_table,1)*N115)-SUM((X115,Y115,Z115))</f>
        <v>#REF!</v>
      </c>
      <c r="V115" s="237" t="e">
        <f>IF(U115&lt;5,5,U115)</f>
        <v>#REF!</v>
      </c>
      <c r="X115" s="170" t="e">
        <f>IF(AND(N115=0.75,($O115="TRUE")),ABS('Per Diem Calc Tool'!$R115*0.75),IF($O115="TRUE",ABS('Per Diem Calc Tool'!$R115),""))</f>
        <v>#REF!</v>
      </c>
      <c r="Y115" s="170" t="e">
        <f>IF(AND(N115=0.75,($P115="TRUE")),ABS('Per Diem Calc Tool'!$S115*0.75),IF($P115="TRUE",ABS('Per Diem Calc Tool'!$S115),""))</f>
        <v>#REF!</v>
      </c>
      <c r="Z115" s="170" t="e">
        <f>IF(AND(N115=0.75,($Q115="TRUE")),ABS('Per Diem Calc Tool'!$T115*0.75),IF($Q115="TRUE",ABS('Per Diem Calc Tool'!$T115),""))</f>
        <v>#REF!</v>
      </c>
    </row>
    <row r="116" spans="6:26" ht="15" customHeight="1">
      <c r="F116" s="208"/>
      <c r="G116" s="208"/>
      <c r="H116" s="208"/>
      <c r="I116" s="208"/>
      <c r="J116" s="37"/>
      <c r="L116" s="188"/>
      <c r="N116" s="235"/>
      <c r="O116" s="236"/>
      <c r="P116" s="236"/>
      <c r="Q116" s="236"/>
      <c r="R116" s="237">
        <f t="shared" si="5"/>
        <v>0</v>
      </c>
      <c r="S116" s="237">
        <f t="shared" si="6"/>
        <v>0</v>
      </c>
      <c r="T116" s="237">
        <f t="shared" si="7"/>
        <v>0</v>
      </c>
      <c r="U116" s="238" t="e">
        <f>(VLOOKUP($P$9,Per_diem_table,1)*N116)-SUM((X116,Y116,Z116))</f>
        <v>#REF!</v>
      </c>
      <c r="V116" s="237"/>
      <c r="X116" s="170">
        <f>IF(AND(N116=0.75,($O116="TRUE")),ABS('Per Diem Calc Tool'!$R116*0.75),IF($O116="TRUE",ABS('Per Diem Calc Tool'!$R116),""))</f>
      </c>
      <c r="Y116" s="170">
        <f>IF(AND(N116=0.75,($P116="TRUE")),ABS('Per Diem Calc Tool'!$S116*0.75),IF($P116="TRUE",ABS('Per Diem Calc Tool'!$S116),""))</f>
      </c>
      <c r="Z116" s="170">
        <f>IF(AND(N116=0.75,($Q116="TRUE")),ABS('Per Diem Calc Tool'!$T116*0.75),IF($Q116="TRUE",ABS('Per Diem Calc Tool'!$T116),""))</f>
      </c>
    </row>
    <row r="117" spans="6:26" ht="15" customHeight="1">
      <c r="F117" s="208"/>
      <c r="G117" s="208"/>
      <c r="H117" s="208"/>
      <c r="I117" s="208"/>
      <c r="J117" s="37"/>
      <c r="L117" s="188"/>
      <c r="N117" s="235"/>
      <c r="O117" s="236"/>
      <c r="P117" s="236"/>
      <c r="Q117" s="236"/>
      <c r="R117" s="237">
        <f t="shared" si="5"/>
        <v>0</v>
      </c>
      <c r="S117" s="237">
        <f t="shared" si="6"/>
        <v>0</v>
      </c>
      <c r="T117" s="237">
        <f t="shared" si="7"/>
        <v>0</v>
      </c>
      <c r="U117" s="238" t="e">
        <f>(VLOOKUP($P$9,Per_diem_table,1)*N117)-SUM((X117,Y117,Z117))</f>
        <v>#REF!</v>
      </c>
      <c r="V117" s="237"/>
      <c r="X117" s="170">
        <f>IF(AND(N117=0.75,($O117="TRUE")),ABS('Per Diem Calc Tool'!$R117*0.75),IF($O117="TRUE",ABS('Per Diem Calc Tool'!$R117),""))</f>
      </c>
      <c r="Y117" s="170">
        <f>IF(AND(N117=0.75,($P117="TRUE")),ABS('Per Diem Calc Tool'!$S117*0.75),IF($P117="TRUE",ABS('Per Diem Calc Tool'!$S117),""))</f>
      </c>
      <c r="Z117" s="170">
        <f>IF(AND(N117=0.75,($Q117="TRUE")),ABS('Per Diem Calc Tool'!$T117*0.75),IF($Q117="TRUE",ABS('Per Diem Calc Tool'!$T117),""))</f>
      </c>
    </row>
    <row r="118" spans="6:26" ht="15" customHeight="1">
      <c r="F118" s="208"/>
      <c r="G118" s="208"/>
      <c r="H118" s="208"/>
      <c r="I118" s="208"/>
      <c r="J118" s="37"/>
      <c r="L118" s="188">
        <v>33</v>
      </c>
      <c r="M118" s="169" t="b">
        <f>+L118&lt;=$O$7</f>
        <v>0</v>
      </c>
      <c r="N118" s="235">
        <f>IF(L118=$O$7,0.75,1)</f>
        <v>1</v>
      </c>
      <c r="O118" s="236" t="e">
        <f>IF(B52="X","TRUE","FALSE")</f>
        <v>#REF!</v>
      </c>
      <c r="P118" s="236" t="e">
        <f>IF(C52="X","TRUE","FALSE")</f>
        <v>#REF!</v>
      </c>
      <c r="Q118" s="236" t="e">
        <f>IF(D52="X","TRUE","FALSE")</f>
        <v>#REF!</v>
      </c>
      <c r="R118" s="237" t="e">
        <f t="shared" si="5"/>
        <v>#REF!</v>
      </c>
      <c r="S118" s="237" t="e">
        <f t="shared" si="6"/>
        <v>#REF!</v>
      </c>
      <c r="T118" s="237" t="e">
        <f t="shared" si="7"/>
        <v>#REF!</v>
      </c>
      <c r="U118" s="238" t="e">
        <f>(VLOOKUP($P$9,Per_diem_table,1)*N118)-SUM((X118,Y118,Z118))</f>
        <v>#REF!</v>
      </c>
      <c r="V118" s="237" t="e">
        <f>IF(U118&lt;5,5,U118)</f>
        <v>#REF!</v>
      </c>
      <c r="X118" s="170" t="e">
        <f>IF(AND(N118=0.75,($O118="TRUE")),ABS('Per Diem Calc Tool'!$R118*0.75),IF($O118="TRUE",ABS('Per Diem Calc Tool'!$R118),""))</f>
        <v>#REF!</v>
      </c>
      <c r="Y118" s="170" t="e">
        <f>IF(AND(N118=0.75,($P118="TRUE")),ABS('Per Diem Calc Tool'!$S118*0.75),IF($P118="TRUE",ABS('Per Diem Calc Tool'!$S118),""))</f>
        <v>#REF!</v>
      </c>
      <c r="Z118" s="170" t="e">
        <f>IF(AND(N118=0.75,($Q118="TRUE")),ABS('Per Diem Calc Tool'!$T118*0.75),IF($Q118="TRUE",ABS('Per Diem Calc Tool'!$T118),""))</f>
        <v>#REF!</v>
      </c>
    </row>
    <row r="119" spans="6:26" ht="15" customHeight="1">
      <c r="F119" s="208"/>
      <c r="G119" s="208"/>
      <c r="H119" s="208"/>
      <c r="I119" s="208"/>
      <c r="J119" s="37"/>
      <c r="L119" s="188"/>
      <c r="N119" s="235"/>
      <c r="O119" s="236"/>
      <c r="P119" s="236"/>
      <c r="Q119" s="236"/>
      <c r="R119" s="237">
        <f t="shared" si="5"/>
        <v>0</v>
      </c>
      <c r="S119" s="237">
        <f t="shared" si="6"/>
        <v>0</v>
      </c>
      <c r="T119" s="237">
        <f t="shared" si="7"/>
        <v>0</v>
      </c>
      <c r="U119" s="238" t="e">
        <f>(VLOOKUP($P$9,Per_diem_table,1)*N119)-SUM((X119,Y119,Z119))</f>
        <v>#REF!</v>
      </c>
      <c r="V119" s="237"/>
      <c r="X119" s="170">
        <f>IF(AND(N119=0.75,($O119="TRUE")),ABS('Per Diem Calc Tool'!$R119*0.75),IF($O119="TRUE",ABS('Per Diem Calc Tool'!$R119),""))</f>
      </c>
      <c r="Y119" s="170">
        <f>IF(AND(N119=0.75,($P119="TRUE")),ABS('Per Diem Calc Tool'!$S119*0.75),IF($P119="TRUE",ABS('Per Diem Calc Tool'!$S119),""))</f>
      </c>
      <c r="Z119" s="170">
        <f>IF(AND(N119=0.75,($Q119="TRUE")),ABS('Per Diem Calc Tool'!$T119*0.75),IF($Q119="TRUE",ABS('Per Diem Calc Tool'!$T119),""))</f>
      </c>
    </row>
    <row r="120" spans="6:26" ht="15" customHeight="1">
      <c r="F120" s="208"/>
      <c r="G120" s="208"/>
      <c r="H120" s="208"/>
      <c r="I120" s="208"/>
      <c r="J120" s="37"/>
      <c r="L120" s="188"/>
      <c r="N120" s="235"/>
      <c r="O120" s="236"/>
      <c r="P120" s="236"/>
      <c r="Q120" s="236"/>
      <c r="R120" s="237">
        <f t="shared" si="5"/>
        <v>0</v>
      </c>
      <c r="S120" s="237">
        <f t="shared" si="6"/>
        <v>0</v>
      </c>
      <c r="T120" s="237">
        <f t="shared" si="7"/>
        <v>0</v>
      </c>
      <c r="U120" s="238" t="e">
        <f>(VLOOKUP($P$9,Per_diem_table,1)*N120)-SUM((X120,Y120,Z120))</f>
        <v>#REF!</v>
      </c>
      <c r="V120" s="237"/>
      <c r="X120" s="170">
        <f>IF(AND(N120=0.75,($O120="TRUE")),ABS('Per Diem Calc Tool'!$R120*0.75),IF($O120="TRUE",ABS('Per Diem Calc Tool'!$R120),""))</f>
      </c>
      <c r="Y120" s="170">
        <f>IF(AND(N120=0.75,($P120="TRUE")),ABS('Per Diem Calc Tool'!$S120*0.75),IF($P120="TRUE",ABS('Per Diem Calc Tool'!$S120),""))</f>
      </c>
      <c r="Z120" s="170">
        <f>IF(AND(N120=0.75,($Q120="TRUE")),ABS('Per Diem Calc Tool'!$T120*0.75),IF($Q120="TRUE",ABS('Per Diem Calc Tool'!$T120),""))</f>
      </c>
    </row>
    <row r="121" spans="6:26" ht="15" customHeight="1">
      <c r="F121" s="208"/>
      <c r="G121" s="208"/>
      <c r="H121" s="208"/>
      <c r="I121" s="208"/>
      <c r="J121" s="37"/>
      <c r="L121" s="188">
        <v>34</v>
      </c>
      <c r="M121" s="169" t="b">
        <f>+L121&lt;=$O$7</f>
        <v>0</v>
      </c>
      <c r="N121" s="235">
        <f>IF(M121=TRUE,0.75,1)</f>
        <v>1</v>
      </c>
      <c r="O121" s="236" t="e">
        <f>IF(B53="X","TRUE","FALSE")</f>
        <v>#REF!</v>
      </c>
      <c r="P121" s="236" t="e">
        <f>IF(C53="X","TRUE","FALSE")</f>
        <v>#REF!</v>
      </c>
      <c r="Q121" s="236" t="e">
        <f>IF(D53="X","TRUE","FALSE")</f>
        <v>#REF!</v>
      </c>
      <c r="R121" s="237" t="e">
        <f t="shared" si="5"/>
        <v>#REF!</v>
      </c>
      <c r="S121" s="237" t="e">
        <f t="shared" si="6"/>
        <v>#REF!</v>
      </c>
      <c r="T121" s="237" t="e">
        <f t="shared" si="7"/>
        <v>#REF!</v>
      </c>
      <c r="U121" s="238" t="e">
        <f>(VLOOKUP($P$9,Per_diem_table,1)*N121)-SUM((X121,Y121,Z121))</f>
        <v>#REF!</v>
      </c>
      <c r="V121" s="237" t="e">
        <f>IF(U121&lt;5,5,U121)</f>
        <v>#REF!</v>
      </c>
      <c r="X121" s="170" t="e">
        <f>IF(AND(N121=0.75,($O121="TRUE")),ABS('Per Diem Calc Tool'!$R121*0.75),IF($O121="TRUE",ABS('Per Diem Calc Tool'!$R121),""))</f>
        <v>#REF!</v>
      </c>
      <c r="Y121" s="170" t="e">
        <f>IF(AND(N121=0.75,($P121="TRUE")),ABS('Per Diem Calc Tool'!$S121*0.75),IF($P121="TRUE",ABS('Per Diem Calc Tool'!$S121),""))</f>
        <v>#REF!</v>
      </c>
      <c r="Z121" s="170" t="e">
        <f>IF(AND(N121=0.75,($Q121="TRUE")),ABS('Per Diem Calc Tool'!$T121*0.75),IF($Q121="TRUE",ABS('Per Diem Calc Tool'!$T121),""))</f>
        <v>#REF!</v>
      </c>
    </row>
    <row r="122" spans="6:26" ht="15" customHeight="1">
      <c r="F122" s="208"/>
      <c r="G122" s="208"/>
      <c r="H122" s="208"/>
      <c r="I122" s="208"/>
      <c r="J122" s="37"/>
      <c r="L122" s="188"/>
      <c r="N122" s="235"/>
      <c r="O122" s="236"/>
      <c r="P122" s="236"/>
      <c r="Q122" s="236"/>
      <c r="R122" s="237">
        <f t="shared" si="5"/>
        <v>0</v>
      </c>
      <c r="S122" s="237">
        <f t="shared" si="6"/>
        <v>0</v>
      </c>
      <c r="T122" s="237">
        <f t="shared" si="7"/>
        <v>0</v>
      </c>
      <c r="U122" s="238" t="e">
        <f>(VLOOKUP($P$9,Per_diem_table,1)*N122)-SUM((X122,Y122,Z122))</f>
        <v>#REF!</v>
      </c>
      <c r="V122" s="237"/>
      <c r="X122" s="170">
        <f>IF(AND(N122=0.75,($O122="TRUE")),ABS('Per Diem Calc Tool'!$R122*0.75),IF($O122="TRUE",ABS('Per Diem Calc Tool'!$R122),""))</f>
      </c>
      <c r="Y122" s="170">
        <f>IF(AND(N122=0.75,($P122="TRUE")),ABS('Per Diem Calc Tool'!$S122*0.75),IF($P122="TRUE",ABS('Per Diem Calc Tool'!$S122),""))</f>
      </c>
      <c r="Z122" s="170">
        <f>IF(AND(N122=0.75,($Q122="TRUE")),ABS('Per Diem Calc Tool'!$T122*0.75),IF($Q122="TRUE",ABS('Per Diem Calc Tool'!$T122),""))</f>
      </c>
    </row>
    <row r="123" spans="6:26" ht="15" customHeight="1">
      <c r="F123" s="208"/>
      <c r="G123" s="208"/>
      <c r="H123" s="208"/>
      <c r="I123" s="208"/>
      <c r="J123" s="37"/>
      <c r="L123" s="188"/>
      <c r="N123" s="235"/>
      <c r="O123" s="236"/>
      <c r="P123" s="236"/>
      <c r="Q123" s="236"/>
      <c r="R123" s="237">
        <f t="shared" si="5"/>
        <v>0</v>
      </c>
      <c r="S123" s="237">
        <f t="shared" si="6"/>
        <v>0</v>
      </c>
      <c r="T123" s="237">
        <f t="shared" si="7"/>
        <v>0</v>
      </c>
      <c r="U123" s="238" t="e">
        <f>(VLOOKUP($P$9,Per_diem_table,1)*N123)-SUM((X123,Y123,Z123))</f>
        <v>#REF!</v>
      </c>
      <c r="V123" s="237"/>
      <c r="X123" s="170">
        <f>IF(AND(N123=0.75,($O123="TRUE")),ABS('Per Diem Calc Tool'!$R123*0.75),IF($O123="TRUE",ABS('Per Diem Calc Tool'!$R123),""))</f>
      </c>
      <c r="Y123" s="170">
        <f>IF(AND(N123=0.75,($P123="TRUE")),ABS('Per Diem Calc Tool'!$S123*0.75),IF($P123="TRUE",ABS('Per Diem Calc Tool'!$S123),""))</f>
      </c>
      <c r="Z123" s="170">
        <f>IF(AND(N123=0.75,($Q123="TRUE")),ABS('Per Diem Calc Tool'!$T123*0.75),IF($Q123="TRUE",ABS('Per Diem Calc Tool'!$T123),""))</f>
      </c>
    </row>
    <row r="124" spans="6:26" ht="15" customHeight="1">
      <c r="F124" s="208"/>
      <c r="G124" s="208"/>
      <c r="H124" s="208"/>
      <c r="I124" s="208"/>
      <c r="J124" s="37"/>
      <c r="L124" s="188">
        <v>35</v>
      </c>
      <c r="M124" s="169" t="b">
        <f>+L124&lt;=$O$7</f>
        <v>0</v>
      </c>
      <c r="N124" s="235">
        <f>IF(L124=$O$7,0.75,1)</f>
        <v>1</v>
      </c>
      <c r="O124" s="236" t="str">
        <f>IF(B54="X","TRUE","FALSE")</f>
        <v>FALSE</v>
      </c>
      <c r="P124" s="236" t="str">
        <f>IF(C54="X","TRUE","FALSE")</f>
        <v>FALSE</v>
      </c>
      <c r="Q124" s="236" t="str">
        <f>IF(D54="X","TRUE","FALSE")</f>
        <v>FALSE</v>
      </c>
      <c r="R124" s="237">
        <f t="shared" si="5"/>
        <v>0</v>
      </c>
      <c r="S124" s="237">
        <f t="shared" si="6"/>
        <v>0</v>
      </c>
      <c r="T124" s="237">
        <f t="shared" si="7"/>
        <v>0</v>
      </c>
      <c r="U124" s="238" t="e">
        <f>(VLOOKUP($P$9,Per_diem_table,1)*N124)-SUM((X124,Y124,Z124))</f>
        <v>#REF!</v>
      </c>
      <c r="V124" s="237" t="e">
        <f>IF(U124&lt;5,5,U124)</f>
        <v>#REF!</v>
      </c>
      <c r="X124" s="170">
        <f>IF(AND(N124=0.75,($O124="TRUE")),ABS('Per Diem Calc Tool'!$R124*0.75),IF($O124="TRUE",ABS('Per Diem Calc Tool'!$R124),""))</f>
      </c>
      <c r="Y124" s="170">
        <f>IF(AND(N124=0.75,($P124="TRUE")),ABS('Per Diem Calc Tool'!$S124*0.75),IF($P124="TRUE",ABS('Per Diem Calc Tool'!$S124),""))</f>
      </c>
      <c r="Z124" s="170">
        <f>IF(AND(N124=0.75,($Q124="TRUE")),ABS('Per Diem Calc Tool'!$T124*0.75),IF($Q124="TRUE",ABS('Per Diem Calc Tool'!$T124),""))</f>
      </c>
    </row>
    <row r="125" spans="6:26" ht="15" customHeight="1">
      <c r="F125" s="208"/>
      <c r="G125" s="208"/>
      <c r="H125" s="208"/>
      <c r="I125" s="208"/>
      <c r="J125" s="37"/>
      <c r="L125" s="188"/>
      <c r="N125" s="235"/>
      <c r="O125" s="236"/>
      <c r="P125" s="236"/>
      <c r="Q125" s="236"/>
      <c r="R125" s="237">
        <f t="shared" si="5"/>
        <v>0</v>
      </c>
      <c r="S125" s="237">
        <f t="shared" si="6"/>
        <v>0</v>
      </c>
      <c r="T125" s="237">
        <f t="shared" si="7"/>
        <v>0</v>
      </c>
      <c r="U125" s="238" t="e">
        <f>(VLOOKUP($P$9,Per_diem_table,1)*N125)-SUM((X125,Y125,Z125))</f>
        <v>#REF!</v>
      </c>
      <c r="V125" s="237"/>
      <c r="X125" s="170">
        <f>IF(AND(N125=0.75,($O125="TRUE")),ABS('Per Diem Calc Tool'!$R125*0.75),IF($O125="TRUE",ABS('Per Diem Calc Tool'!$R125),""))</f>
      </c>
      <c r="Y125" s="170">
        <f>IF(AND(N125=0.75,($P125="TRUE")),ABS('Per Diem Calc Tool'!$S125*0.75),IF($P125="TRUE",ABS('Per Diem Calc Tool'!$S125),""))</f>
      </c>
      <c r="Z125" s="170">
        <f>IF(AND(N125=0.75,($Q125="TRUE")),ABS('Per Diem Calc Tool'!$T125*0.75),IF($Q125="TRUE",ABS('Per Diem Calc Tool'!$T125),""))</f>
      </c>
    </row>
    <row r="126" spans="6:26" ht="15" customHeight="1">
      <c r="F126" s="208"/>
      <c r="G126" s="208"/>
      <c r="H126" s="208"/>
      <c r="I126" s="208"/>
      <c r="J126" s="37"/>
      <c r="L126" s="188"/>
      <c r="N126" s="235"/>
      <c r="O126" s="236"/>
      <c r="P126" s="236"/>
      <c r="Q126" s="236"/>
      <c r="R126" s="237">
        <f t="shared" si="5"/>
        <v>0</v>
      </c>
      <c r="S126" s="237">
        <f t="shared" si="6"/>
        <v>0</v>
      </c>
      <c r="T126" s="237">
        <f t="shared" si="7"/>
        <v>0</v>
      </c>
      <c r="U126" s="238" t="e">
        <f>(VLOOKUP($P$9,Per_diem_table,1)*N126)-SUM((X126,Y126,Z126))</f>
        <v>#REF!</v>
      </c>
      <c r="V126" s="237"/>
      <c r="X126" s="170">
        <f>IF(AND(N126=0.75,($O126="TRUE")),ABS('Per Diem Calc Tool'!$R126*0.75),IF($O126="TRUE",ABS('Per Diem Calc Tool'!$R126),""))</f>
      </c>
      <c r="Y126" s="170">
        <f>IF(AND(N126=0.75,($P126="TRUE")),ABS('Per Diem Calc Tool'!$S126*0.75),IF($P126="TRUE",ABS('Per Diem Calc Tool'!$S126),""))</f>
      </c>
      <c r="Z126" s="170">
        <f>IF(AND(N126=0.75,($Q126="TRUE")),ABS('Per Diem Calc Tool'!$T126*0.75),IF($Q126="TRUE",ABS('Per Diem Calc Tool'!$T126),""))</f>
      </c>
    </row>
    <row r="127" spans="6:26" ht="15" customHeight="1">
      <c r="F127" s="208"/>
      <c r="G127" s="208"/>
      <c r="H127" s="208"/>
      <c r="I127" s="208"/>
      <c r="J127" s="37"/>
      <c r="L127" s="188">
        <v>36</v>
      </c>
      <c r="M127" s="169" t="b">
        <f>+L127&lt;=$O$7</f>
        <v>0</v>
      </c>
      <c r="N127" s="235">
        <f>IF(L127=$O$7,0.75,1)</f>
        <v>1</v>
      </c>
      <c r="O127" s="236" t="str">
        <f>IF(B55="X","TRUE","FALSE")</f>
        <v>FALSE</v>
      </c>
      <c r="P127" s="236" t="str">
        <f>IF(C55="X","TRUE","FALSE")</f>
        <v>FALSE</v>
      </c>
      <c r="Q127" s="236" t="str">
        <f>IF(D55="X","TRUE","FALSE")</f>
        <v>FALSE</v>
      </c>
      <c r="R127" s="237">
        <f t="shared" si="5"/>
        <v>0</v>
      </c>
      <c r="S127" s="237">
        <f t="shared" si="6"/>
        <v>0</v>
      </c>
      <c r="T127" s="237">
        <f t="shared" si="7"/>
        <v>0</v>
      </c>
      <c r="U127" s="238" t="e">
        <f>(VLOOKUP($P$9,Per_diem_table,1)*N127)-SUM((X127,Y127,Z127))</f>
        <v>#REF!</v>
      </c>
      <c r="V127" s="237" t="e">
        <f>IF(U127&lt;5,5,U127)</f>
        <v>#REF!</v>
      </c>
      <c r="X127" s="170">
        <f>IF(AND(N127=0.75,($O127="TRUE")),ABS('Per Diem Calc Tool'!$R127*0.75),IF($O127="TRUE",ABS('Per Diem Calc Tool'!$R127),""))</f>
      </c>
      <c r="Y127" s="170">
        <f>IF(AND(N127=0.75,($P127="TRUE")),ABS('Per Diem Calc Tool'!$S127*0.75),IF($P127="TRUE",ABS('Per Diem Calc Tool'!$S127),""))</f>
      </c>
      <c r="Z127" s="170">
        <f>IF(AND(N127=0.75,($Q127="TRUE")),ABS('Per Diem Calc Tool'!$T127*0.75),IF($Q127="TRUE",ABS('Per Diem Calc Tool'!$T127),""))</f>
      </c>
    </row>
    <row r="128" spans="6:26" ht="15" customHeight="1">
      <c r="F128" s="208"/>
      <c r="G128" s="208"/>
      <c r="H128" s="208"/>
      <c r="I128" s="208"/>
      <c r="J128" s="37"/>
      <c r="L128" s="188"/>
      <c r="N128" s="235"/>
      <c r="O128" s="236"/>
      <c r="P128" s="236"/>
      <c r="Q128" s="236"/>
      <c r="R128" s="237">
        <f t="shared" si="5"/>
        <v>0</v>
      </c>
      <c r="S128" s="237">
        <f t="shared" si="6"/>
        <v>0</v>
      </c>
      <c r="T128" s="237">
        <f t="shared" si="7"/>
        <v>0</v>
      </c>
      <c r="U128" s="238" t="e">
        <f>(VLOOKUP($P$9,Per_diem_table,1)*N128)-SUM((X128,Y128,Z128))</f>
        <v>#REF!</v>
      </c>
      <c r="V128" s="237"/>
      <c r="X128" s="170">
        <f>IF(AND(N128=0.75,($O128="TRUE")),ABS('Per Diem Calc Tool'!$R128*0.75),IF($O128="TRUE",ABS('Per Diem Calc Tool'!$R128),""))</f>
      </c>
      <c r="Y128" s="170">
        <f>IF(AND(N128=0.75,($P128="TRUE")),ABS('Per Diem Calc Tool'!$S128*0.75),IF($P128="TRUE",ABS('Per Diem Calc Tool'!$S128),""))</f>
      </c>
      <c r="Z128" s="170">
        <f>IF(AND(N128=0.75,($Q128="TRUE")),ABS('Per Diem Calc Tool'!$T128*0.75),IF($Q128="TRUE",ABS('Per Diem Calc Tool'!$T128),""))</f>
      </c>
    </row>
    <row r="129" spans="6:26" ht="15" customHeight="1">
      <c r="F129" s="208"/>
      <c r="G129" s="208"/>
      <c r="H129" s="208"/>
      <c r="I129" s="208"/>
      <c r="J129" s="37"/>
      <c r="L129" s="188"/>
      <c r="N129" s="235"/>
      <c r="O129" s="236"/>
      <c r="P129" s="236"/>
      <c r="Q129" s="236"/>
      <c r="R129" s="237">
        <f t="shared" si="5"/>
        <v>0</v>
      </c>
      <c r="S129" s="237">
        <f t="shared" si="6"/>
        <v>0</v>
      </c>
      <c r="T129" s="237">
        <f t="shared" si="7"/>
        <v>0</v>
      </c>
      <c r="U129" s="238" t="e">
        <f>(VLOOKUP($P$9,Per_diem_table,1)*N129)-SUM((X129,Y129,Z129))</f>
        <v>#REF!</v>
      </c>
      <c r="V129" s="237"/>
      <c r="X129" s="170">
        <f>IF(AND(N129=0.75,($O129="TRUE")),ABS('Per Diem Calc Tool'!$R129*0.75),IF($O129="TRUE",ABS('Per Diem Calc Tool'!$R129),""))</f>
      </c>
      <c r="Y129" s="170">
        <f>IF(AND(N129=0.75,($P129="TRUE")),ABS('Per Diem Calc Tool'!$S129*0.75),IF($P129="TRUE",ABS('Per Diem Calc Tool'!$S129),""))</f>
      </c>
      <c r="Z129" s="170">
        <f>IF(AND(N129=0.75,($Q129="TRUE")),ABS('Per Diem Calc Tool'!$T129*0.75),IF($Q129="TRUE",ABS('Per Diem Calc Tool'!$T129),""))</f>
      </c>
    </row>
    <row r="130" spans="6:26" ht="15" customHeight="1">
      <c r="F130" s="208"/>
      <c r="G130" s="208"/>
      <c r="H130" s="208"/>
      <c r="I130" s="208"/>
      <c r="J130" s="37"/>
      <c r="L130" s="188">
        <v>37</v>
      </c>
      <c r="M130" s="169" t="b">
        <f>+L130&lt;=$O$7</f>
        <v>0</v>
      </c>
      <c r="N130" s="235">
        <f>IF(L130=$O$7,0.75,1)</f>
        <v>1</v>
      </c>
      <c r="O130" s="236" t="str">
        <f>IF(B56="X","TRUE","FALSE")</f>
        <v>FALSE</v>
      </c>
      <c r="P130" s="236" t="str">
        <f>IF(C56="X","TRUE","FALSE")</f>
        <v>FALSE</v>
      </c>
      <c r="Q130" s="236" t="str">
        <f>IF(D56="X","TRUE","FALSE")</f>
        <v>FALSE</v>
      </c>
      <c r="R130" s="237">
        <f t="shared" si="5"/>
        <v>0</v>
      </c>
      <c r="S130" s="237">
        <f t="shared" si="6"/>
        <v>0</v>
      </c>
      <c r="T130" s="237">
        <f t="shared" si="7"/>
        <v>0</v>
      </c>
      <c r="U130" s="238" t="e">
        <f>(VLOOKUP($P$9,Per_diem_table,1)*N130)-SUM((X130,Y130,Z130))</f>
        <v>#REF!</v>
      </c>
      <c r="V130" s="237" t="e">
        <f>IF(U130&lt;5,5,U130)</f>
        <v>#REF!</v>
      </c>
      <c r="X130" s="170">
        <f>IF(AND(N130=0.75,($O130="TRUE")),ABS('Per Diem Calc Tool'!$R130*0.75),IF($O130="TRUE",ABS('Per Diem Calc Tool'!$R130),""))</f>
      </c>
      <c r="Y130" s="170">
        <f>IF(AND(N130=0.75,($P130="TRUE")),ABS('Per Diem Calc Tool'!$S130*0.75),IF($P130="TRUE",ABS('Per Diem Calc Tool'!$S130),""))</f>
      </c>
      <c r="Z130" s="170">
        <f>IF(AND(N130=0.75,($Q130="TRUE")),ABS('Per Diem Calc Tool'!$T130*0.75),IF($Q130="TRUE",ABS('Per Diem Calc Tool'!$T130),""))</f>
      </c>
    </row>
    <row r="131" spans="6:26" ht="15" customHeight="1">
      <c r="F131" s="208"/>
      <c r="G131" s="208"/>
      <c r="H131" s="208"/>
      <c r="I131" s="208"/>
      <c r="J131" s="37"/>
      <c r="L131" s="188"/>
      <c r="N131" s="235"/>
      <c r="O131" s="236"/>
      <c r="P131" s="236"/>
      <c r="Q131" s="236"/>
      <c r="R131" s="237">
        <f t="shared" si="5"/>
        <v>0</v>
      </c>
      <c r="S131" s="237">
        <f t="shared" si="6"/>
        <v>0</v>
      </c>
      <c r="T131" s="237">
        <f t="shared" si="7"/>
        <v>0</v>
      </c>
      <c r="U131" s="238" t="e">
        <f>(VLOOKUP($P$9,Per_diem_table,1)*N131)-SUM((X131,Y131,Z131))</f>
        <v>#REF!</v>
      </c>
      <c r="V131" s="237"/>
      <c r="X131" s="170">
        <f>IF(AND(N131=0.75,($O131="TRUE")),ABS('Per Diem Calc Tool'!$R131*0.75),IF($O131="TRUE",ABS('Per Diem Calc Tool'!$R131),""))</f>
      </c>
      <c r="Y131" s="170">
        <f>IF(AND(N131=0.75,($P131="TRUE")),ABS('Per Diem Calc Tool'!$S131*0.75),IF($P131="TRUE",ABS('Per Diem Calc Tool'!$S131),""))</f>
      </c>
      <c r="Z131" s="170">
        <f>IF(AND(N131=0.75,($Q131="TRUE")),ABS('Per Diem Calc Tool'!$T131*0.75),IF($Q131="TRUE",ABS('Per Diem Calc Tool'!$T131),""))</f>
      </c>
    </row>
    <row r="132" spans="6:26" ht="15" customHeight="1">
      <c r="F132" s="208"/>
      <c r="G132" s="208"/>
      <c r="H132" s="208"/>
      <c r="I132" s="208"/>
      <c r="J132" s="37"/>
      <c r="L132" s="188"/>
      <c r="N132" s="235"/>
      <c r="O132" s="236"/>
      <c r="P132" s="236"/>
      <c r="Q132" s="236"/>
      <c r="R132" s="237">
        <f t="shared" si="5"/>
        <v>0</v>
      </c>
      <c r="S132" s="237">
        <f t="shared" si="6"/>
        <v>0</v>
      </c>
      <c r="T132" s="237">
        <f t="shared" si="7"/>
        <v>0</v>
      </c>
      <c r="U132" s="238" t="e">
        <f>(VLOOKUP($P$9,Per_diem_table,1)*N132)-SUM((X132,Y132,Z132))</f>
        <v>#REF!</v>
      </c>
      <c r="V132" s="237"/>
      <c r="X132" s="170">
        <f>IF(AND(N132=0.75,($O132="TRUE")),ABS('Per Diem Calc Tool'!$R132*0.75),IF($O132="TRUE",ABS('Per Diem Calc Tool'!$R132),""))</f>
      </c>
      <c r="Y132" s="170">
        <f>IF(AND(N132=0.75,($P132="TRUE")),ABS('Per Diem Calc Tool'!$S132*0.75),IF($P132="TRUE",ABS('Per Diem Calc Tool'!$S132),""))</f>
      </c>
      <c r="Z132" s="170">
        <f>IF(AND(N132=0.75,($Q132="TRUE")),ABS('Per Diem Calc Tool'!$T132*0.75),IF($Q132="TRUE",ABS('Per Diem Calc Tool'!$T132),""))</f>
      </c>
    </row>
    <row r="133" spans="6:26" ht="15" customHeight="1">
      <c r="F133" s="208"/>
      <c r="G133" s="208"/>
      <c r="H133" s="208"/>
      <c r="I133" s="208"/>
      <c r="J133" s="37"/>
      <c r="L133" s="188">
        <v>38</v>
      </c>
      <c r="M133" s="169" t="b">
        <f>+L133&lt;=$O$7</f>
        <v>0</v>
      </c>
      <c r="N133" s="235">
        <f>IF(L133=$O$7,0.75,1)</f>
        <v>1</v>
      </c>
      <c r="O133" s="236" t="str">
        <f>IF(B57="X","TRUE","FALSE")</f>
        <v>FALSE</v>
      </c>
      <c r="P133" s="236" t="str">
        <f>IF(C57="X","TRUE","FALSE")</f>
        <v>FALSE</v>
      </c>
      <c r="Q133" s="236" t="str">
        <f>IF(D57="X","TRUE","FALSE")</f>
        <v>FALSE</v>
      </c>
      <c r="R133" s="237">
        <f t="shared" si="5"/>
        <v>0</v>
      </c>
      <c r="S133" s="237">
        <f t="shared" si="6"/>
        <v>0</v>
      </c>
      <c r="T133" s="237">
        <f t="shared" si="7"/>
        <v>0</v>
      </c>
      <c r="U133" s="238" t="e">
        <f>(VLOOKUP($P$9,Per_diem_table,1)*N133)-SUM((X133,Y133,Z133))</f>
        <v>#REF!</v>
      </c>
      <c r="V133" s="237" t="e">
        <f>IF(U133&lt;5,5,U133)</f>
        <v>#REF!</v>
      </c>
      <c r="X133" s="170">
        <f>IF(AND(N133=0.75,($O133="TRUE")),ABS('Per Diem Calc Tool'!$R133*0.75),IF($O133="TRUE",ABS('Per Diem Calc Tool'!$R133),""))</f>
      </c>
      <c r="Y133" s="170">
        <f>IF(AND(N133=0.75,($P133="TRUE")),ABS('Per Diem Calc Tool'!$S133*0.75),IF($P133="TRUE",ABS('Per Diem Calc Tool'!$S133),""))</f>
      </c>
      <c r="Z133" s="170">
        <f>IF(AND(N133=0.75,($Q133="TRUE")),ABS('Per Diem Calc Tool'!$T133*0.75),IF($Q133="TRUE",ABS('Per Diem Calc Tool'!$T133),""))</f>
      </c>
    </row>
    <row r="134" spans="6:26" ht="15" customHeight="1">
      <c r="F134" s="208"/>
      <c r="G134" s="208"/>
      <c r="H134" s="208"/>
      <c r="I134" s="208"/>
      <c r="J134" s="37"/>
      <c r="L134" s="188"/>
      <c r="N134" s="235"/>
      <c r="O134" s="236"/>
      <c r="P134" s="236"/>
      <c r="Q134" s="236"/>
      <c r="R134" s="237">
        <f t="shared" si="5"/>
        <v>0</v>
      </c>
      <c r="S134" s="237">
        <f t="shared" si="6"/>
        <v>0</v>
      </c>
      <c r="T134" s="237">
        <f t="shared" si="7"/>
        <v>0</v>
      </c>
      <c r="U134" s="238" t="e">
        <f>(VLOOKUP($P$9,Per_diem_table,1)*N134)-SUM((X134,Y134,Z134))</f>
        <v>#REF!</v>
      </c>
      <c r="V134" s="237"/>
      <c r="X134" s="170">
        <f>IF(AND(N134=0.75,($O134="TRUE")),ABS('Per Diem Calc Tool'!$R134*0.75),IF($O134="TRUE",ABS('Per Diem Calc Tool'!$R134),""))</f>
      </c>
      <c r="Y134" s="170">
        <f>IF(AND(N134=0.75,($P134="TRUE")),ABS('Per Diem Calc Tool'!$S134*0.75),IF($P134="TRUE",ABS('Per Diem Calc Tool'!$S134),""))</f>
      </c>
      <c r="Z134" s="170">
        <f>IF(AND(N134=0.75,($Q134="TRUE")),ABS('Per Diem Calc Tool'!$T134*0.75),IF($Q134="TRUE",ABS('Per Diem Calc Tool'!$T134),""))</f>
      </c>
    </row>
    <row r="135" spans="6:26" ht="15" customHeight="1">
      <c r="F135" s="208"/>
      <c r="G135" s="208"/>
      <c r="H135" s="208"/>
      <c r="I135" s="208"/>
      <c r="J135" s="37"/>
      <c r="L135" s="188"/>
      <c r="N135" s="235"/>
      <c r="O135" s="236"/>
      <c r="P135" s="236"/>
      <c r="Q135" s="236"/>
      <c r="R135" s="237">
        <f t="shared" si="5"/>
        <v>0</v>
      </c>
      <c r="S135" s="237">
        <f t="shared" si="6"/>
        <v>0</v>
      </c>
      <c r="T135" s="237">
        <f t="shared" si="7"/>
        <v>0</v>
      </c>
      <c r="U135" s="238" t="e">
        <f>(VLOOKUP($P$9,Per_diem_table,1)*N135)-SUM((X135,Y135,Z135))</f>
        <v>#REF!</v>
      </c>
      <c r="V135" s="237"/>
      <c r="X135" s="170">
        <f>IF(AND(N135=0.75,($O135="TRUE")),ABS('Per Diem Calc Tool'!$R135*0.75),IF($O135="TRUE",ABS('Per Diem Calc Tool'!$R135),""))</f>
      </c>
      <c r="Y135" s="170">
        <f>IF(AND(N135=0.75,($P135="TRUE")),ABS('Per Diem Calc Tool'!$S135*0.75),IF($P135="TRUE",ABS('Per Diem Calc Tool'!$S135),""))</f>
      </c>
      <c r="Z135" s="170">
        <f>IF(AND(N135=0.75,($Q135="TRUE")),ABS('Per Diem Calc Tool'!$T135*0.75),IF($Q135="TRUE",ABS('Per Diem Calc Tool'!$T135),""))</f>
      </c>
    </row>
    <row r="136" spans="6:26" ht="15" customHeight="1">
      <c r="F136" s="208"/>
      <c r="G136" s="208"/>
      <c r="H136" s="208"/>
      <c r="I136" s="208"/>
      <c r="J136" s="37"/>
      <c r="L136" s="188">
        <v>39</v>
      </c>
      <c r="M136" s="169" t="b">
        <f>+L136&lt;=$O$7</f>
        <v>0</v>
      </c>
      <c r="N136" s="235">
        <f>IF(L136=$O$7,0.75,1)</f>
        <v>1</v>
      </c>
      <c r="O136" s="236" t="str">
        <f>IF(B58="X","TRUE","FALSE")</f>
        <v>FALSE</v>
      </c>
      <c r="P136" s="236" t="str">
        <f>IF(C58="X","TRUE","FALSE")</f>
        <v>FALSE</v>
      </c>
      <c r="Q136" s="236" t="str">
        <f>IF(D58="X","TRUE","FALSE")</f>
        <v>FALSE</v>
      </c>
      <c r="R136" s="237">
        <f t="shared" si="5"/>
        <v>0</v>
      </c>
      <c r="S136" s="237">
        <f t="shared" si="6"/>
        <v>0</v>
      </c>
      <c r="T136" s="237">
        <f t="shared" si="7"/>
        <v>0</v>
      </c>
      <c r="U136" s="238" t="e">
        <f>(VLOOKUP($P$9,Per_diem_table,1)*N136)-SUM((X136,Y136,Z136))</f>
        <v>#REF!</v>
      </c>
      <c r="V136" s="237" t="e">
        <f>IF(U136&lt;5,5,U136)</f>
        <v>#REF!</v>
      </c>
      <c r="X136" s="170">
        <f>IF(AND(N136=0.75,($O136="TRUE")),ABS('Per Diem Calc Tool'!$R136*0.75),IF($O136="TRUE",ABS('Per Diem Calc Tool'!$R136),""))</f>
      </c>
      <c r="Y136" s="170">
        <f>IF(AND(N136=0.75,($P136="TRUE")),ABS('Per Diem Calc Tool'!$S136*0.75),IF($P136="TRUE",ABS('Per Diem Calc Tool'!$S136),""))</f>
      </c>
      <c r="Z136" s="170">
        <f>IF(AND(N136=0.75,($Q136="TRUE")),ABS('Per Diem Calc Tool'!$T136*0.75),IF($Q136="TRUE",ABS('Per Diem Calc Tool'!$T136),""))</f>
      </c>
    </row>
    <row r="137" spans="6:26" ht="15" customHeight="1">
      <c r="F137" s="208"/>
      <c r="G137" s="208"/>
      <c r="H137" s="208"/>
      <c r="I137" s="208"/>
      <c r="J137" s="37"/>
      <c r="L137" s="188"/>
      <c r="N137" s="235"/>
      <c r="O137" s="236"/>
      <c r="P137" s="236"/>
      <c r="Q137" s="236"/>
      <c r="R137" s="237">
        <f t="shared" si="5"/>
        <v>0</v>
      </c>
      <c r="S137" s="237">
        <f t="shared" si="6"/>
        <v>0</v>
      </c>
      <c r="T137" s="237">
        <f t="shared" si="7"/>
        <v>0</v>
      </c>
      <c r="U137" s="238" t="e">
        <f>(VLOOKUP($P$9,Per_diem_table,1)*N137)-SUM((X137,Y137,Z137))</f>
        <v>#REF!</v>
      </c>
      <c r="V137" s="237"/>
      <c r="X137" s="170">
        <f>IF(AND(N137=0.75,($O137="TRUE")),ABS('Per Diem Calc Tool'!$R137*0.75),IF($O137="TRUE",ABS('Per Diem Calc Tool'!$R137),""))</f>
      </c>
      <c r="Y137" s="170">
        <f>IF(AND(N137=0.75,($P137="TRUE")),ABS('Per Diem Calc Tool'!$S137*0.75),IF($P137="TRUE",ABS('Per Diem Calc Tool'!$S137),""))</f>
      </c>
      <c r="Z137" s="170">
        <f>IF(AND(N137=0.75,($Q137="TRUE")),ABS('Per Diem Calc Tool'!$T137*0.75),IF($Q137="TRUE",ABS('Per Diem Calc Tool'!$T137),""))</f>
      </c>
    </row>
    <row r="138" spans="6:26" ht="15" customHeight="1">
      <c r="F138" s="208"/>
      <c r="G138" s="208"/>
      <c r="H138" s="208"/>
      <c r="I138" s="208"/>
      <c r="J138" s="37"/>
      <c r="L138" s="188"/>
      <c r="N138" s="235"/>
      <c r="O138" s="236"/>
      <c r="P138" s="236"/>
      <c r="Q138" s="236"/>
      <c r="R138" s="237">
        <f t="shared" si="5"/>
        <v>0</v>
      </c>
      <c r="S138" s="237">
        <f t="shared" si="6"/>
        <v>0</v>
      </c>
      <c r="T138" s="237">
        <f t="shared" si="7"/>
        <v>0</v>
      </c>
      <c r="U138" s="238" t="e">
        <f>(VLOOKUP($P$9,Per_diem_table,1)*N138)-SUM((X138,Y138,Z138))</f>
        <v>#REF!</v>
      </c>
      <c r="V138" s="237"/>
      <c r="X138" s="170">
        <f>IF(AND(N138=0.75,($O138="TRUE")),ABS('Per Diem Calc Tool'!$R138*0.75),IF($O138="TRUE",ABS('Per Diem Calc Tool'!$R138),""))</f>
      </c>
      <c r="Y138" s="170">
        <f>IF(AND(N138=0.75,($P138="TRUE")),ABS('Per Diem Calc Tool'!$S138*0.75),IF($P138="TRUE",ABS('Per Diem Calc Tool'!$S138),""))</f>
      </c>
      <c r="Z138" s="170">
        <f>IF(AND(N138=0.75,($Q138="TRUE")),ABS('Per Diem Calc Tool'!$T138*0.75),IF($Q138="TRUE",ABS('Per Diem Calc Tool'!$T138),""))</f>
      </c>
    </row>
    <row r="139" spans="6:26" ht="15" customHeight="1">
      <c r="F139" s="208"/>
      <c r="G139" s="208"/>
      <c r="H139" s="208"/>
      <c r="I139" s="208"/>
      <c r="J139" s="37"/>
      <c r="L139" s="188">
        <v>40</v>
      </c>
      <c r="M139" s="169" t="b">
        <f>+L139&lt;=$O$7</f>
        <v>0</v>
      </c>
      <c r="N139" s="235">
        <f>IF(L139=$O$7,0.75,1)</f>
        <v>1</v>
      </c>
      <c r="O139" s="236" t="str">
        <f>IF(B59="X","TRUE","FALSE")</f>
        <v>FALSE</v>
      </c>
      <c r="P139" s="236" t="str">
        <f>IF(C59="X","TRUE","FALSE")</f>
        <v>FALSE</v>
      </c>
      <c r="Q139" s="236" t="str">
        <f>IF(D59="X","TRUE","FALSE")</f>
        <v>FALSE</v>
      </c>
      <c r="R139" s="237">
        <f t="shared" si="5"/>
        <v>0</v>
      </c>
      <c r="S139" s="237">
        <f t="shared" si="6"/>
        <v>0</v>
      </c>
      <c r="T139" s="237">
        <f t="shared" si="7"/>
        <v>0</v>
      </c>
      <c r="U139" s="238" t="e">
        <f>(VLOOKUP($P$9,Per_diem_table,1)*N139)-SUM((X139,Y139,Z139))</f>
        <v>#REF!</v>
      </c>
      <c r="V139" s="237" t="e">
        <f>IF(U139&lt;5,5,U139)</f>
        <v>#REF!</v>
      </c>
      <c r="X139" s="170">
        <f>IF(AND(N139=0.75,($O139="TRUE")),ABS('Per Diem Calc Tool'!$R139*0.75),IF($O139="TRUE",ABS('Per Diem Calc Tool'!$R139),""))</f>
      </c>
      <c r="Y139" s="170">
        <f>IF(AND(N139=0.75,($P139="TRUE")),ABS('Per Diem Calc Tool'!$S139*0.75),IF($P139="TRUE",ABS('Per Diem Calc Tool'!$S139),""))</f>
      </c>
      <c r="Z139" s="170">
        <f>IF(AND(N139=0.75,($Q139="TRUE")),ABS('Per Diem Calc Tool'!$T139*0.75),IF($Q139="TRUE",ABS('Per Diem Calc Tool'!$T139),""))</f>
      </c>
    </row>
    <row r="140" spans="6:26" ht="26.25" customHeight="1">
      <c r="F140" s="41"/>
      <c r="G140" s="41"/>
      <c r="H140" s="41"/>
      <c r="I140" s="41"/>
      <c r="J140" s="37"/>
      <c r="L140" s="188"/>
      <c r="N140" s="235"/>
      <c r="O140" s="236"/>
      <c r="P140" s="236"/>
      <c r="Q140" s="236"/>
      <c r="R140" s="237">
        <f t="shared" si="5"/>
        <v>0</v>
      </c>
      <c r="S140" s="237">
        <f t="shared" si="6"/>
        <v>0</v>
      </c>
      <c r="T140" s="237">
        <f t="shared" si="7"/>
        <v>0</v>
      </c>
      <c r="U140" s="238" t="e">
        <f>(VLOOKUP($P$9,Per_diem_table,1)*N140)-SUM((X140,Y140,Z140))</f>
        <v>#REF!</v>
      </c>
      <c r="V140" s="237"/>
      <c r="X140" s="170">
        <f>IF(AND(N140=0.75,($O140="TRUE")),ABS('Per Diem Calc Tool'!$R140*0.75),IF($O140="TRUE",ABS('Per Diem Calc Tool'!$R140),""))</f>
      </c>
      <c r="Y140" s="170">
        <f>IF(AND(N140=0.75,($P140="TRUE")),ABS('Per Diem Calc Tool'!$S140*0.75),IF($P140="TRUE",ABS('Per Diem Calc Tool'!$S140),""))</f>
      </c>
      <c r="Z140" s="170">
        <f>IF(AND(N140=0.75,($Q140="TRUE")),ABS('Per Diem Calc Tool'!$T140*0.75),IF($Q140="TRUE",ABS('Per Diem Calc Tool'!$T140),""))</f>
      </c>
    </row>
    <row r="141" spans="6:26" ht="12.75" customHeight="1">
      <c r="F141" s="42"/>
      <c r="G141" s="42"/>
      <c r="H141" s="43"/>
      <c r="I141" s="37"/>
      <c r="J141" s="36"/>
      <c r="L141" s="188"/>
      <c r="N141" s="235"/>
      <c r="O141" s="236"/>
      <c r="P141" s="236"/>
      <c r="Q141" s="236"/>
      <c r="R141" s="237">
        <f t="shared" si="5"/>
        <v>0</v>
      </c>
      <c r="S141" s="237">
        <f t="shared" si="6"/>
        <v>0</v>
      </c>
      <c r="T141" s="237">
        <f t="shared" si="7"/>
        <v>0</v>
      </c>
      <c r="U141" s="238" t="e">
        <f>(VLOOKUP($P$9,Per_diem_table,1)*N141)-SUM((X141,Y141,Z141))</f>
        <v>#REF!</v>
      </c>
      <c r="V141" s="237"/>
      <c r="X141" s="170">
        <f>IF(AND(N141=0.75,($O141="TRUE")),ABS('Per Diem Calc Tool'!$R141*0.75),IF($O141="TRUE",ABS('Per Diem Calc Tool'!$R141),""))</f>
      </c>
      <c r="Y141" s="170">
        <f>IF(AND(N141=0.75,($P141="TRUE")),ABS('Per Diem Calc Tool'!$S141*0.75),IF($P141="TRUE",ABS('Per Diem Calc Tool'!$S141),""))</f>
      </c>
      <c r="Z141" s="170">
        <f>IF(AND(N141=0.75,($Q141="TRUE")),ABS('Per Diem Calc Tool'!$T141*0.75),IF($Q141="TRUE",ABS('Per Diem Calc Tool'!$T141),""))</f>
      </c>
    </row>
    <row r="142" spans="12:26" ht="13.5">
      <c r="L142" s="188">
        <v>41</v>
      </c>
      <c r="M142" s="169" t="b">
        <f>+L142&lt;=$O$7</f>
        <v>0</v>
      </c>
      <c r="N142" s="235">
        <f>IF(L142=$O$7,0.75,1)</f>
        <v>1</v>
      </c>
      <c r="O142" s="236" t="str">
        <f>IF(B60="X","TRUE","FALSE")</f>
        <v>FALSE</v>
      </c>
      <c r="P142" s="236" t="str">
        <f>IF(C60="X","TRUE","FALSE")</f>
        <v>FALSE</v>
      </c>
      <c r="Q142" s="236" t="str">
        <f>IF(D60="X","TRUE","FALSE")</f>
        <v>FALSE</v>
      </c>
      <c r="R142" s="237">
        <f t="shared" si="5"/>
        <v>0</v>
      </c>
      <c r="S142" s="237">
        <f t="shared" si="6"/>
        <v>0</v>
      </c>
      <c r="T142" s="237">
        <f t="shared" si="7"/>
        <v>0</v>
      </c>
      <c r="U142" s="238" t="e">
        <f>(VLOOKUP($P$9,Per_diem_table,1)*N142)-SUM((X142,Y142,Z142))</f>
        <v>#REF!</v>
      </c>
      <c r="V142" s="237" t="e">
        <f>IF(U142&lt;5,5,U142)</f>
        <v>#REF!</v>
      </c>
      <c r="X142" s="170">
        <f>IF(AND(N142=0.75,($O142="TRUE")),ABS('Per Diem Calc Tool'!$R142*0.75),IF($O142="TRUE",ABS('Per Diem Calc Tool'!$R142),""))</f>
      </c>
      <c r="Y142" s="170">
        <f>IF(AND(N142=0.75,($P142="TRUE")),ABS('Per Diem Calc Tool'!$S142*0.75),IF($P142="TRUE",ABS('Per Diem Calc Tool'!$S142),""))</f>
      </c>
      <c r="Z142" s="170">
        <f>IF(AND(N142=0.75,($Q142="TRUE")),ABS('Per Diem Calc Tool'!$T142*0.75),IF($Q142="TRUE",ABS('Per Diem Calc Tool'!$T142),""))</f>
      </c>
    </row>
    <row r="143" spans="12:26" ht="13.5">
      <c r="L143" s="188"/>
      <c r="N143" s="235"/>
      <c r="O143" s="236"/>
      <c r="P143" s="236"/>
      <c r="Q143" s="236"/>
      <c r="R143" s="237">
        <f t="shared" si="5"/>
        <v>0</v>
      </c>
      <c r="S143" s="237">
        <f t="shared" si="6"/>
        <v>0</v>
      </c>
      <c r="T143" s="237">
        <f t="shared" si="7"/>
        <v>0</v>
      </c>
      <c r="U143" s="238" t="e">
        <f>(VLOOKUP($P$9,Per_diem_table,1)*N143)-SUM((X143,Y143,Z143))</f>
        <v>#REF!</v>
      </c>
      <c r="V143" s="237"/>
      <c r="X143" s="170">
        <f>IF(AND(N143=0.75,($O143="TRUE")),ABS('Per Diem Calc Tool'!$R143*0.75),IF($O143="TRUE",ABS('Per Diem Calc Tool'!$R143),""))</f>
      </c>
      <c r="Y143" s="170">
        <f>IF(AND(N143=0.75,($P143="TRUE")),ABS('Per Diem Calc Tool'!$S143*0.75),IF($P143="TRUE",ABS('Per Diem Calc Tool'!$S143),""))</f>
      </c>
      <c r="Z143" s="170">
        <f>IF(AND(N143=0.75,($Q143="TRUE")),ABS('Per Diem Calc Tool'!$T143*0.75),IF($Q143="TRUE",ABS('Per Diem Calc Tool'!$T143),""))</f>
      </c>
    </row>
    <row r="144" spans="12:26" ht="13.5">
      <c r="L144" s="188"/>
      <c r="N144" s="235"/>
      <c r="O144" s="236"/>
      <c r="P144" s="236"/>
      <c r="Q144" s="236"/>
      <c r="R144" s="237">
        <f t="shared" si="5"/>
        <v>0</v>
      </c>
      <c r="S144" s="237">
        <f t="shared" si="6"/>
        <v>0</v>
      </c>
      <c r="T144" s="237">
        <f t="shared" si="7"/>
        <v>0</v>
      </c>
      <c r="U144" s="238" t="e">
        <f>(VLOOKUP($P$9,Per_diem_table,1)*N144)-SUM((X144,Y144,Z144))</f>
        <v>#REF!</v>
      </c>
      <c r="V144" s="237"/>
      <c r="X144" s="170">
        <f>IF(AND(N144=0.75,($O144="TRUE")),ABS('Per Diem Calc Tool'!$R144*0.75),IF($O144="TRUE",ABS('Per Diem Calc Tool'!$R144),""))</f>
      </c>
      <c r="Y144" s="170">
        <f>IF(AND(N144=0.75,($P144="TRUE")),ABS('Per Diem Calc Tool'!$S144*0.75),IF($P144="TRUE",ABS('Per Diem Calc Tool'!$S144),""))</f>
      </c>
      <c r="Z144" s="170">
        <f>IF(AND(N144=0.75,($Q144="TRUE")),ABS('Per Diem Calc Tool'!$T144*0.75),IF($Q144="TRUE",ABS('Per Diem Calc Tool'!$T144),""))</f>
      </c>
    </row>
    <row r="145" spans="12:26" ht="13.5">
      <c r="L145" s="188">
        <v>42</v>
      </c>
      <c r="M145" s="169" t="b">
        <f>+L145&lt;=$O$7</f>
        <v>0</v>
      </c>
      <c r="N145" s="235">
        <f>IF(L145=$O$7,0.75,1)</f>
        <v>1</v>
      </c>
      <c r="O145" s="236" t="str">
        <f>IF(B61="X","TRUE","FALSE")</f>
        <v>FALSE</v>
      </c>
      <c r="P145" s="236" t="str">
        <f>IF(C61="X","TRUE","FALSE")</f>
        <v>FALSE</v>
      </c>
      <c r="Q145" s="236" t="str">
        <f>IF(D61="X","TRUE","FALSE")</f>
        <v>FALSE</v>
      </c>
      <c r="R145" s="237">
        <f t="shared" si="5"/>
        <v>0</v>
      </c>
      <c r="S145" s="237">
        <f t="shared" si="6"/>
        <v>0</v>
      </c>
      <c r="T145" s="237">
        <f t="shared" si="7"/>
        <v>0</v>
      </c>
      <c r="U145" s="238" t="e">
        <f>(VLOOKUP($P$9,Per_diem_table,1)*N145)-SUM((X145,Y145,Z145))</f>
        <v>#REF!</v>
      </c>
      <c r="V145" s="237" t="e">
        <f>IF(U145&lt;5,5,U145)</f>
        <v>#REF!</v>
      </c>
      <c r="X145" s="170">
        <f>IF(AND(N145=0.75,($O145="TRUE")),ABS('Per Diem Calc Tool'!$R145*0.75),IF($O145="TRUE",ABS('Per Diem Calc Tool'!$R145),""))</f>
      </c>
      <c r="Y145" s="170">
        <f>IF(AND(N145=0.75,($P145="TRUE")),ABS('Per Diem Calc Tool'!$S145*0.75),IF($P145="TRUE",ABS('Per Diem Calc Tool'!$S145),""))</f>
      </c>
      <c r="Z145" s="170">
        <f>IF(AND(N145=0.75,($Q145="TRUE")),ABS('Per Diem Calc Tool'!$T145*0.75),IF($Q145="TRUE",ABS('Per Diem Calc Tool'!$T145),""))</f>
      </c>
    </row>
    <row r="146" spans="12:26" ht="13.5">
      <c r="L146" s="188"/>
      <c r="N146" s="235"/>
      <c r="O146" s="236"/>
      <c r="P146" s="236"/>
      <c r="Q146" s="236"/>
      <c r="R146" s="237">
        <f t="shared" si="5"/>
        <v>0</v>
      </c>
      <c r="S146" s="237">
        <f t="shared" si="6"/>
        <v>0</v>
      </c>
      <c r="T146" s="237">
        <f t="shared" si="7"/>
        <v>0</v>
      </c>
      <c r="U146" s="238" t="e">
        <f>(VLOOKUP($P$9,Per_diem_table,1)*N146)-SUM((X146,Y146,Z146))</f>
        <v>#REF!</v>
      </c>
      <c r="V146" s="237"/>
      <c r="X146" s="170">
        <f>IF(AND(N146=0.75,($O146="TRUE")),ABS('Per Diem Calc Tool'!$R146*0.75),IF($O146="TRUE",ABS('Per Diem Calc Tool'!$R146),""))</f>
      </c>
      <c r="Y146" s="170">
        <f>IF(AND(N146=0.75,($P146="TRUE")),ABS('Per Diem Calc Tool'!$S146*0.75),IF($P146="TRUE",ABS('Per Diem Calc Tool'!$S146),""))</f>
      </c>
      <c r="Z146" s="170">
        <f>IF(AND(N146=0.75,($Q146="TRUE")),ABS('Per Diem Calc Tool'!$T146*0.75),IF($Q146="TRUE",ABS('Per Diem Calc Tool'!$T146),""))</f>
      </c>
    </row>
    <row r="147" spans="12:26" ht="13.5">
      <c r="L147" s="188"/>
      <c r="N147" s="235"/>
      <c r="O147" s="236"/>
      <c r="P147" s="236"/>
      <c r="Q147" s="236"/>
      <c r="R147" s="237">
        <f aca="true" t="shared" si="9" ref="R147:R210">IF(O147="TRUE",-VLOOKUP($P$9,Per_diem_table,2),0)</f>
        <v>0</v>
      </c>
      <c r="S147" s="237">
        <f aca="true" t="shared" si="10" ref="S147:S210">IF(P147="TRUE",-VLOOKUP($P$9,Per_diem_table,3),0)</f>
        <v>0</v>
      </c>
      <c r="T147" s="237">
        <f aca="true" t="shared" si="11" ref="T147:T210">IF(Q147="TRUE",-VLOOKUP($P$9,Per_diem_table,4),0)</f>
        <v>0</v>
      </c>
      <c r="U147" s="238" t="e">
        <f>(VLOOKUP($P$9,Per_diem_table,1)*N147)-SUM((X147,Y147,Z147))</f>
        <v>#REF!</v>
      </c>
      <c r="V147" s="237"/>
      <c r="X147" s="170">
        <f>IF(AND(N147=0.75,($O147="TRUE")),ABS('Per Diem Calc Tool'!$R147*0.75),IF($O147="TRUE",ABS('Per Diem Calc Tool'!$R147),""))</f>
      </c>
      <c r="Y147" s="170">
        <f>IF(AND(N147=0.75,($P147="TRUE")),ABS('Per Diem Calc Tool'!$S147*0.75),IF($P147="TRUE",ABS('Per Diem Calc Tool'!$S147),""))</f>
      </c>
      <c r="Z147" s="170">
        <f>IF(AND(N147=0.75,($Q147="TRUE")),ABS('Per Diem Calc Tool'!$T147*0.75),IF($Q147="TRUE",ABS('Per Diem Calc Tool'!$T147),""))</f>
      </c>
    </row>
    <row r="148" spans="12:26" ht="13.5">
      <c r="L148" s="188">
        <v>43</v>
      </c>
      <c r="M148" s="169" t="b">
        <f>+L148&lt;=$O$7</f>
        <v>0</v>
      </c>
      <c r="N148" s="235">
        <f>IF(L148=$O$7,0.75,1)</f>
        <v>1</v>
      </c>
      <c r="O148" s="236" t="str">
        <f>IF(B62="X","TRUE","FALSE")</f>
        <v>FALSE</v>
      </c>
      <c r="P148" s="236" t="str">
        <f>IF(C62="X","TRUE","FALSE")</f>
        <v>FALSE</v>
      </c>
      <c r="Q148" s="236" t="str">
        <f>IF(D62="X","TRUE","FALSE")</f>
        <v>FALSE</v>
      </c>
      <c r="R148" s="237">
        <f t="shared" si="9"/>
        <v>0</v>
      </c>
      <c r="S148" s="237">
        <f t="shared" si="10"/>
        <v>0</v>
      </c>
      <c r="T148" s="237">
        <f t="shared" si="11"/>
        <v>0</v>
      </c>
      <c r="U148" s="238" t="e">
        <f>(VLOOKUP($P$9,Per_diem_table,1)*N148)-SUM((X148,Y148,Z148))</f>
        <v>#REF!</v>
      </c>
      <c r="V148" s="237" t="e">
        <f>IF(U148&lt;5,5,U148)</f>
        <v>#REF!</v>
      </c>
      <c r="X148" s="170">
        <f>IF(AND(N148=0.75,($O148="TRUE")),ABS('Per Diem Calc Tool'!$R148*0.75),IF($O148="TRUE",ABS('Per Diem Calc Tool'!$R148),""))</f>
      </c>
      <c r="Y148" s="170">
        <f>IF(AND(N148=0.75,($P148="TRUE")),ABS('Per Diem Calc Tool'!$S148*0.75),IF($P148="TRUE",ABS('Per Diem Calc Tool'!$S148),""))</f>
      </c>
      <c r="Z148" s="170">
        <f>IF(AND(N148=0.75,($Q148="TRUE")),ABS('Per Diem Calc Tool'!$T148*0.75),IF($Q148="TRUE",ABS('Per Diem Calc Tool'!$T148),""))</f>
      </c>
    </row>
    <row r="149" spans="12:26" ht="13.5">
      <c r="L149" s="188"/>
      <c r="N149" s="235"/>
      <c r="O149" s="236"/>
      <c r="P149" s="236"/>
      <c r="Q149" s="236"/>
      <c r="R149" s="237">
        <f t="shared" si="9"/>
        <v>0</v>
      </c>
      <c r="S149" s="237">
        <f t="shared" si="10"/>
        <v>0</v>
      </c>
      <c r="T149" s="237">
        <f t="shared" si="11"/>
        <v>0</v>
      </c>
      <c r="U149" s="238" t="e">
        <f>(VLOOKUP($P$9,Per_diem_table,1)*N149)-SUM((X149,Y149,Z149))</f>
        <v>#REF!</v>
      </c>
      <c r="V149" s="237"/>
      <c r="X149" s="170">
        <f>IF(AND(N149=0.75,($O149="TRUE")),ABS('Per Diem Calc Tool'!$R149*0.75),IF($O149="TRUE",ABS('Per Diem Calc Tool'!$R149),""))</f>
      </c>
      <c r="Y149" s="170">
        <f>IF(AND(N149=0.75,($P149="TRUE")),ABS('Per Diem Calc Tool'!$S149*0.75),IF($P149="TRUE",ABS('Per Diem Calc Tool'!$S149),""))</f>
      </c>
      <c r="Z149" s="170">
        <f>IF(AND(N149=0.75,($Q149="TRUE")),ABS('Per Diem Calc Tool'!$T149*0.75),IF($Q149="TRUE",ABS('Per Diem Calc Tool'!$T149),""))</f>
      </c>
    </row>
    <row r="150" spans="12:26" ht="13.5">
      <c r="L150" s="188"/>
      <c r="N150" s="235"/>
      <c r="O150" s="236"/>
      <c r="P150" s="236"/>
      <c r="Q150" s="236"/>
      <c r="R150" s="237">
        <f t="shared" si="9"/>
        <v>0</v>
      </c>
      <c r="S150" s="237">
        <f t="shared" si="10"/>
        <v>0</v>
      </c>
      <c r="T150" s="237">
        <f t="shared" si="11"/>
        <v>0</v>
      </c>
      <c r="U150" s="238" t="e">
        <f>(VLOOKUP($P$9,Per_diem_table,1)*N150)-SUM((X150,Y150,Z150))</f>
        <v>#REF!</v>
      </c>
      <c r="V150" s="237"/>
      <c r="X150" s="170">
        <f>IF(AND(N150=0.75,($O150="TRUE")),ABS('Per Diem Calc Tool'!$R150*0.75),IF($O150="TRUE",ABS('Per Diem Calc Tool'!$R150),""))</f>
      </c>
      <c r="Y150" s="170">
        <f>IF(AND(N150=0.75,($P150="TRUE")),ABS('Per Diem Calc Tool'!$S150*0.75),IF($P150="TRUE",ABS('Per Diem Calc Tool'!$S150),""))</f>
      </c>
      <c r="Z150" s="170">
        <f>IF(AND(N150=0.75,($Q150="TRUE")),ABS('Per Diem Calc Tool'!$T150*0.75),IF($Q150="TRUE",ABS('Per Diem Calc Tool'!$T150),""))</f>
      </c>
    </row>
    <row r="151" spans="12:26" ht="13.5">
      <c r="L151" s="188">
        <v>44</v>
      </c>
      <c r="M151" s="169" t="b">
        <f>+L151&lt;=$O$7</f>
        <v>0</v>
      </c>
      <c r="N151" s="235">
        <f>IF(L151=$O$7,0.75,1)</f>
        <v>1</v>
      </c>
      <c r="O151" s="236" t="str">
        <f>IF(B63="X","TRUE","FALSE")</f>
        <v>FALSE</v>
      </c>
      <c r="P151" s="236" t="str">
        <f>IF(C63="X","TRUE","FALSE")</f>
        <v>FALSE</v>
      </c>
      <c r="Q151" s="236" t="str">
        <f>IF(D63="X","TRUE","FALSE")</f>
        <v>FALSE</v>
      </c>
      <c r="R151" s="237">
        <f t="shared" si="9"/>
        <v>0</v>
      </c>
      <c r="S151" s="237">
        <f t="shared" si="10"/>
        <v>0</v>
      </c>
      <c r="T151" s="237">
        <f t="shared" si="11"/>
        <v>0</v>
      </c>
      <c r="U151" s="238" t="e">
        <f>(VLOOKUP($P$9,Per_diem_table,1)*N151)-SUM((X151,Y151,Z151))</f>
        <v>#REF!</v>
      </c>
      <c r="V151" s="237" t="e">
        <f>IF(U151&lt;5,5,U151)</f>
        <v>#REF!</v>
      </c>
      <c r="X151" s="170">
        <f>IF(AND(N151=0.75,($O151="TRUE")),ABS('Per Diem Calc Tool'!$R151*0.75),IF($O151="TRUE",ABS('Per Diem Calc Tool'!$R151),""))</f>
      </c>
      <c r="Y151" s="170">
        <f>IF(AND(N151=0.75,($P151="TRUE")),ABS('Per Diem Calc Tool'!$S151*0.75),IF($P151="TRUE",ABS('Per Diem Calc Tool'!$S151),""))</f>
      </c>
      <c r="Z151" s="170">
        <f>IF(AND(N151=0.75,($Q151="TRUE")),ABS('Per Diem Calc Tool'!$T151*0.75),IF($Q151="TRUE",ABS('Per Diem Calc Tool'!$T151),""))</f>
      </c>
    </row>
    <row r="152" spans="12:26" ht="13.5">
      <c r="L152" s="188"/>
      <c r="N152" s="235"/>
      <c r="O152" s="236"/>
      <c r="P152" s="236"/>
      <c r="Q152" s="236"/>
      <c r="R152" s="237">
        <f t="shared" si="9"/>
        <v>0</v>
      </c>
      <c r="S152" s="237">
        <f t="shared" si="10"/>
        <v>0</v>
      </c>
      <c r="T152" s="237">
        <f t="shared" si="11"/>
        <v>0</v>
      </c>
      <c r="U152" s="238" t="e">
        <f>(VLOOKUP($P$9,Per_diem_table,1)*N152)-SUM((X152,Y152,Z152))</f>
        <v>#REF!</v>
      </c>
      <c r="V152" s="237"/>
      <c r="X152" s="170">
        <f>IF(AND(N152=0.75,($O152="TRUE")),ABS('Per Diem Calc Tool'!$R152*0.75),IF($O152="TRUE",ABS('Per Diem Calc Tool'!$R152),""))</f>
      </c>
      <c r="Y152" s="170">
        <f>IF(AND(N152=0.75,($P152="TRUE")),ABS('Per Diem Calc Tool'!$S152*0.75),IF($P152="TRUE",ABS('Per Diem Calc Tool'!$S152),""))</f>
      </c>
      <c r="Z152" s="170">
        <f>IF(AND(N152=0.75,($Q152="TRUE")),ABS('Per Diem Calc Tool'!$T152*0.75),IF($Q152="TRUE",ABS('Per Diem Calc Tool'!$T152),""))</f>
      </c>
    </row>
    <row r="153" spans="12:26" ht="13.5">
      <c r="L153" s="188"/>
      <c r="N153" s="235"/>
      <c r="O153" s="236"/>
      <c r="P153" s="236"/>
      <c r="Q153" s="236"/>
      <c r="R153" s="237">
        <f t="shared" si="9"/>
        <v>0</v>
      </c>
      <c r="S153" s="237">
        <f t="shared" si="10"/>
        <v>0</v>
      </c>
      <c r="T153" s="237">
        <f t="shared" si="11"/>
        <v>0</v>
      </c>
      <c r="U153" s="238" t="e">
        <f>(VLOOKUP($P$9,Per_diem_table,1)*N153)-SUM((X153,Y153,Z153))</f>
        <v>#REF!</v>
      </c>
      <c r="V153" s="237"/>
      <c r="X153" s="170">
        <f>IF(AND(N153=0.75,($O153="TRUE")),ABS('Per Diem Calc Tool'!$R153*0.75),IF($O153="TRUE",ABS('Per Diem Calc Tool'!$R153),""))</f>
      </c>
      <c r="Y153" s="170">
        <f>IF(AND(N153=0.75,($P153="TRUE")),ABS('Per Diem Calc Tool'!$S153*0.75),IF($P153="TRUE",ABS('Per Diem Calc Tool'!$S153),""))</f>
      </c>
      <c r="Z153" s="170">
        <f>IF(AND(N153=0.75,($Q153="TRUE")),ABS('Per Diem Calc Tool'!$T153*0.75),IF($Q153="TRUE",ABS('Per Diem Calc Tool'!$T153),""))</f>
      </c>
    </row>
    <row r="154" spans="12:26" ht="13.5">
      <c r="L154" s="188">
        <v>45</v>
      </c>
      <c r="M154" s="169" t="b">
        <f>+L154&lt;=$O$7</f>
        <v>0</v>
      </c>
      <c r="N154" s="235">
        <f>IF(L154=$O$7,0.75,1)</f>
        <v>1</v>
      </c>
      <c r="O154" s="236" t="str">
        <f>IF(B64="X","TRUE","FALSE")</f>
        <v>FALSE</v>
      </c>
      <c r="P154" s="236" t="str">
        <f>IF(C64="X","TRUE","FALSE")</f>
        <v>FALSE</v>
      </c>
      <c r="Q154" s="236" t="str">
        <f>IF(D64="X","TRUE","FALSE")</f>
        <v>FALSE</v>
      </c>
      <c r="R154" s="237">
        <f t="shared" si="9"/>
        <v>0</v>
      </c>
      <c r="S154" s="237">
        <f t="shared" si="10"/>
        <v>0</v>
      </c>
      <c r="T154" s="237">
        <f t="shared" si="11"/>
        <v>0</v>
      </c>
      <c r="U154" s="238" t="e">
        <f>(VLOOKUP($P$9,Per_diem_table,1)*N154)-SUM((X154,Y154,Z154))</f>
        <v>#REF!</v>
      </c>
      <c r="V154" s="237" t="e">
        <f>IF(U154&lt;5,5,U154)</f>
        <v>#REF!</v>
      </c>
      <c r="X154" s="170">
        <f>IF(AND(N154=0.75,($O154="TRUE")),ABS('Per Diem Calc Tool'!$R154*0.75),IF($O154="TRUE",ABS('Per Diem Calc Tool'!$R154),""))</f>
      </c>
      <c r="Y154" s="170">
        <f>IF(AND(N154=0.75,($P154="TRUE")),ABS('Per Diem Calc Tool'!$S154*0.75),IF($P154="TRUE",ABS('Per Diem Calc Tool'!$S154),""))</f>
      </c>
      <c r="Z154" s="170">
        <f>IF(AND(N154=0.75,($Q154="TRUE")),ABS('Per Diem Calc Tool'!$T154*0.75),IF($Q154="TRUE",ABS('Per Diem Calc Tool'!$T154),""))</f>
      </c>
    </row>
    <row r="155" spans="12:26" ht="13.5">
      <c r="L155" s="188"/>
      <c r="N155" s="235"/>
      <c r="O155" s="236"/>
      <c r="P155" s="236"/>
      <c r="Q155" s="236"/>
      <c r="R155" s="237">
        <f t="shared" si="9"/>
        <v>0</v>
      </c>
      <c r="S155" s="237">
        <f t="shared" si="10"/>
        <v>0</v>
      </c>
      <c r="T155" s="237">
        <f t="shared" si="11"/>
        <v>0</v>
      </c>
      <c r="U155" s="238" t="e">
        <f>(VLOOKUP($P$9,Per_diem_table,1)*N155)-SUM((X155,Y155,Z155))</f>
        <v>#REF!</v>
      </c>
      <c r="V155" s="237"/>
      <c r="X155" s="170">
        <f>IF(AND(N155=0.75,($O155="TRUE")),ABS('Per Diem Calc Tool'!$R155*0.75),IF($O155="TRUE",ABS('Per Diem Calc Tool'!$R155),""))</f>
      </c>
      <c r="Y155" s="170">
        <f>IF(AND(N155=0.75,($P155="TRUE")),ABS('Per Diem Calc Tool'!$S155*0.75),IF($P155="TRUE",ABS('Per Diem Calc Tool'!$S155),""))</f>
      </c>
      <c r="Z155" s="170">
        <f>IF(AND(N155=0.75,($Q155="TRUE")),ABS('Per Diem Calc Tool'!$T155*0.75),IF($Q155="TRUE",ABS('Per Diem Calc Tool'!$T155),""))</f>
      </c>
    </row>
    <row r="156" spans="12:26" ht="13.5">
      <c r="L156" s="188"/>
      <c r="N156" s="235"/>
      <c r="O156" s="236"/>
      <c r="P156" s="236"/>
      <c r="Q156" s="236"/>
      <c r="R156" s="237">
        <f t="shared" si="9"/>
        <v>0</v>
      </c>
      <c r="S156" s="237">
        <f t="shared" si="10"/>
        <v>0</v>
      </c>
      <c r="T156" s="237">
        <f t="shared" si="11"/>
        <v>0</v>
      </c>
      <c r="U156" s="238" t="e">
        <f>(VLOOKUP($P$9,Per_diem_table,1)*N156)-SUM((X156,Y156,Z156))</f>
        <v>#REF!</v>
      </c>
      <c r="V156" s="237"/>
      <c r="X156" s="170">
        <f>IF(AND(N156=0.75,($O156="TRUE")),ABS('Per Diem Calc Tool'!$R156*0.75),IF($O156="TRUE",ABS('Per Diem Calc Tool'!$R156),""))</f>
      </c>
      <c r="Y156" s="170">
        <f>IF(AND(N156=0.75,($P156="TRUE")),ABS('Per Diem Calc Tool'!$S156*0.75),IF($P156="TRUE",ABS('Per Diem Calc Tool'!$S156),""))</f>
      </c>
      <c r="Z156" s="170">
        <f>IF(AND(N156=0.75,($Q156="TRUE")),ABS('Per Diem Calc Tool'!$T156*0.75),IF($Q156="TRUE",ABS('Per Diem Calc Tool'!$T156),""))</f>
      </c>
    </row>
    <row r="157" spans="12:26" ht="13.5">
      <c r="L157" s="188">
        <v>46</v>
      </c>
      <c r="M157" s="169" t="b">
        <f>+L157&lt;=$O$7</f>
        <v>0</v>
      </c>
      <c r="N157" s="235">
        <f>IF(L157=$O$7,0.75,1)</f>
        <v>1</v>
      </c>
      <c r="O157" s="236" t="str">
        <f>IF(B65="X","TRUE","FALSE")</f>
        <v>FALSE</v>
      </c>
      <c r="P157" s="236" t="str">
        <f>IF(C65="X","TRUE","FALSE")</f>
        <v>FALSE</v>
      </c>
      <c r="Q157" s="236" t="str">
        <f>IF(D65="X","TRUE","FALSE")</f>
        <v>FALSE</v>
      </c>
      <c r="R157" s="237">
        <f t="shared" si="9"/>
        <v>0</v>
      </c>
      <c r="S157" s="237">
        <f t="shared" si="10"/>
        <v>0</v>
      </c>
      <c r="T157" s="237">
        <f t="shared" si="11"/>
        <v>0</v>
      </c>
      <c r="U157" s="238" t="e">
        <f>(VLOOKUP($P$9,Per_diem_table,1)*N157)-SUM((X157,Y157,Z157))</f>
        <v>#REF!</v>
      </c>
      <c r="V157" s="237" t="e">
        <f>IF(U157&lt;5,5,U157)</f>
        <v>#REF!</v>
      </c>
      <c r="X157" s="170">
        <f>IF(AND(N157=0.75,($O157="TRUE")),ABS('Per Diem Calc Tool'!$R157*0.75),IF($O157="TRUE",ABS('Per Diem Calc Tool'!$R157),""))</f>
      </c>
      <c r="Y157" s="170">
        <f>IF(AND(N157=0.75,($P157="TRUE")),ABS('Per Diem Calc Tool'!$S157*0.75),IF($P157="TRUE",ABS('Per Diem Calc Tool'!$S157),""))</f>
      </c>
      <c r="Z157" s="170">
        <f>IF(AND(N157=0.75,($Q157="TRUE")),ABS('Per Diem Calc Tool'!$T157*0.75),IF($Q157="TRUE",ABS('Per Diem Calc Tool'!$T157),""))</f>
      </c>
    </row>
    <row r="158" spans="12:26" ht="13.5">
      <c r="L158" s="188"/>
      <c r="N158" s="235"/>
      <c r="O158" s="236"/>
      <c r="P158" s="236"/>
      <c r="Q158" s="236"/>
      <c r="R158" s="237">
        <f t="shared" si="9"/>
        <v>0</v>
      </c>
      <c r="S158" s="237">
        <f t="shared" si="10"/>
        <v>0</v>
      </c>
      <c r="T158" s="237">
        <f t="shared" si="11"/>
        <v>0</v>
      </c>
      <c r="U158" s="238" t="e">
        <f>(VLOOKUP($P$9,Per_diem_table,1)*N158)-SUM((X158,Y158,Z158))</f>
        <v>#REF!</v>
      </c>
      <c r="V158" s="237"/>
      <c r="X158" s="170">
        <f>IF(AND(N158=0.75,($O158="TRUE")),ABS('Per Diem Calc Tool'!$R158*0.75),IF($O158="TRUE",ABS('Per Diem Calc Tool'!$R158),""))</f>
      </c>
      <c r="Y158" s="170">
        <f>IF(AND(N158=0.75,($P158="TRUE")),ABS('Per Diem Calc Tool'!$S158*0.75),IF($P158="TRUE",ABS('Per Diem Calc Tool'!$S158),""))</f>
      </c>
      <c r="Z158" s="170">
        <f>IF(AND(N158=0.75,($Q158="TRUE")),ABS('Per Diem Calc Tool'!$T158*0.75),IF($Q158="TRUE",ABS('Per Diem Calc Tool'!$T158),""))</f>
      </c>
    </row>
    <row r="159" spans="12:26" ht="13.5">
      <c r="L159" s="188"/>
      <c r="N159" s="235"/>
      <c r="O159" s="236"/>
      <c r="P159" s="236"/>
      <c r="Q159" s="236"/>
      <c r="R159" s="237">
        <f t="shared" si="9"/>
        <v>0</v>
      </c>
      <c r="S159" s="237">
        <f t="shared" si="10"/>
        <v>0</v>
      </c>
      <c r="T159" s="237">
        <f t="shared" si="11"/>
        <v>0</v>
      </c>
      <c r="U159" s="238" t="e">
        <f>(VLOOKUP($P$9,Per_diem_table,1)*N159)-SUM((X159,Y159,Z159))</f>
        <v>#REF!</v>
      </c>
      <c r="V159" s="237"/>
      <c r="X159" s="170">
        <f>IF(AND(N159=0.75,($O159="TRUE")),ABS('Per Diem Calc Tool'!$R159*0.75),IF($O159="TRUE",ABS('Per Diem Calc Tool'!$R159),""))</f>
      </c>
      <c r="Y159" s="170">
        <f>IF(AND(N159=0.75,($P159="TRUE")),ABS('Per Diem Calc Tool'!$S159*0.75),IF($P159="TRUE",ABS('Per Diem Calc Tool'!$S159),""))</f>
      </c>
      <c r="Z159" s="170">
        <f>IF(AND(N159=0.75,($Q159="TRUE")),ABS('Per Diem Calc Tool'!$T159*0.75),IF($Q159="TRUE",ABS('Per Diem Calc Tool'!$T159),""))</f>
      </c>
    </row>
    <row r="160" spans="12:26" ht="13.5">
      <c r="L160" s="188">
        <v>47</v>
      </c>
      <c r="M160" s="169" t="b">
        <f>+L160&lt;=$O$7</f>
        <v>0</v>
      </c>
      <c r="N160" s="235">
        <f>IF(L160=$O$7,0.75,1)</f>
        <v>1</v>
      </c>
      <c r="O160" s="236" t="str">
        <f>IF(B66="X","TRUE","FALSE")</f>
        <v>FALSE</v>
      </c>
      <c r="P160" s="236" t="str">
        <f>IF(C66="X","TRUE","FALSE")</f>
        <v>FALSE</v>
      </c>
      <c r="Q160" s="236" t="str">
        <f>IF(D66="X","TRUE","FALSE")</f>
        <v>FALSE</v>
      </c>
      <c r="R160" s="237">
        <f t="shared" si="9"/>
        <v>0</v>
      </c>
      <c r="S160" s="237">
        <f t="shared" si="10"/>
        <v>0</v>
      </c>
      <c r="T160" s="237">
        <f t="shared" si="11"/>
        <v>0</v>
      </c>
      <c r="U160" s="238" t="e">
        <f>(VLOOKUP($P$9,Per_diem_table,1)*N160)-SUM((X160,Y160,Z160))</f>
        <v>#REF!</v>
      </c>
      <c r="V160" s="237" t="e">
        <f>IF(U160&lt;5,5,U160)</f>
        <v>#REF!</v>
      </c>
      <c r="X160" s="170">
        <f>IF(AND(N160=0.75,($O160="TRUE")),ABS('Per Diem Calc Tool'!$R160*0.75),IF($O160="TRUE",ABS('Per Diem Calc Tool'!$R160),""))</f>
      </c>
      <c r="Y160" s="170">
        <f>IF(AND(N160=0.75,($P160="TRUE")),ABS('Per Diem Calc Tool'!$S160*0.75),IF($P160="TRUE",ABS('Per Diem Calc Tool'!$S160),""))</f>
      </c>
      <c r="Z160" s="170">
        <f>IF(AND(N160=0.75,($Q160="TRUE")),ABS('Per Diem Calc Tool'!$T160*0.75),IF($Q160="TRUE",ABS('Per Diem Calc Tool'!$T160),""))</f>
      </c>
    </row>
    <row r="161" spans="12:26" ht="13.5">
      <c r="L161" s="188"/>
      <c r="N161" s="235"/>
      <c r="O161" s="236"/>
      <c r="P161" s="236"/>
      <c r="Q161" s="236"/>
      <c r="R161" s="237">
        <f t="shared" si="9"/>
        <v>0</v>
      </c>
      <c r="S161" s="237">
        <f t="shared" si="10"/>
        <v>0</v>
      </c>
      <c r="T161" s="237">
        <f t="shared" si="11"/>
        <v>0</v>
      </c>
      <c r="U161" s="238" t="e">
        <f>(VLOOKUP($P$9,Per_diem_table,1)*N161)-SUM((X161,Y161,Z161))</f>
        <v>#REF!</v>
      </c>
      <c r="V161" s="237"/>
      <c r="X161" s="170">
        <f>IF(AND(N161=0.75,($O161="TRUE")),ABS('Per Diem Calc Tool'!$R161*0.75),IF($O161="TRUE",ABS('Per Diem Calc Tool'!$R161),""))</f>
      </c>
      <c r="Y161" s="170">
        <f>IF(AND(N161=0.75,($P161="TRUE")),ABS('Per Diem Calc Tool'!$S161*0.75),IF($P161="TRUE",ABS('Per Diem Calc Tool'!$S161),""))</f>
      </c>
      <c r="Z161" s="170">
        <f>IF(AND(N161=0.75,($Q161="TRUE")),ABS('Per Diem Calc Tool'!$T161*0.75),IF($Q161="TRUE",ABS('Per Diem Calc Tool'!$T161),""))</f>
      </c>
    </row>
    <row r="162" spans="12:26" ht="13.5">
      <c r="L162" s="188"/>
      <c r="N162" s="235"/>
      <c r="O162" s="236"/>
      <c r="P162" s="236"/>
      <c r="Q162" s="236"/>
      <c r="R162" s="237">
        <f t="shared" si="9"/>
        <v>0</v>
      </c>
      <c r="S162" s="237">
        <f t="shared" si="10"/>
        <v>0</v>
      </c>
      <c r="T162" s="237">
        <f t="shared" si="11"/>
        <v>0</v>
      </c>
      <c r="U162" s="238" t="e">
        <f>(VLOOKUP($P$9,Per_diem_table,1)*N162)-SUM((X162,Y162,Z162))</f>
        <v>#REF!</v>
      </c>
      <c r="V162" s="237"/>
      <c r="X162" s="170">
        <f>IF(AND(N162=0.75,($O162="TRUE")),ABS('Per Diem Calc Tool'!$R162*0.75),IF($O162="TRUE",ABS('Per Diem Calc Tool'!$R162),""))</f>
      </c>
      <c r="Y162" s="170">
        <f>IF(AND(N162=0.75,($P162="TRUE")),ABS('Per Diem Calc Tool'!$S162*0.75),IF($P162="TRUE",ABS('Per Diem Calc Tool'!$S162),""))</f>
      </c>
      <c r="Z162" s="170">
        <f>IF(AND(N162=0.75,($Q162="TRUE")),ABS('Per Diem Calc Tool'!$T162*0.75),IF($Q162="TRUE",ABS('Per Diem Calc Tool'!$T162),""))</f>
      </c>
    </row>
    <row r="163" spans="12:26" ht="13.5">
      <c r="L163" s="188">
        <v>48</v>
      </c>
      <c r="M163" s="169" t="b">
        <f>+L163&lt;=$O$7</f>
        <v>0</v>
      </c>
      <c r="N163" s="235">
        <f>IF(L163=$O$7,0.75,1)</f>
        <v>1</v>
      </c>
      <c r="O163" s="236" t="str">
        <f>IF(B67="X","TRUE","FALSE")</f>
        <v>FALSE</v>
      </c>
      <c r="P163" s="236" t="str">
        <f>IF(C67="X","TRUE","FALSE")</f>
        <v>FALSE</v>
      </c>
      <c r="Q163" s="236" t="str">
        <f>IF(D67="X","TRUE","FALSE")</f>
        <v>FALSE</v>
      </c>
      <c r="R163" s="237">
        <f t="shared" si="9"/>
        <v>0</v>
      </c>
      <c r="S163" s="237">
        <f t="shared" si="10"/>
        <v>0</v>
      </c>
      <c r="T163" s="237">
        <f t="shared" si="11"/>
        <v>0</v>
      </c>
      <c r="U163" s="238" t="e">
        <f>(VLOOKUP($P$9,Per_diem_table,1)*N163)-SUM((X163,Y163,Z163))</f>
        <v>#REF!</v>
      </c>
      <c r="V163" s="237" t="e">
        <f>IF(U163&lt;5,5,U163)</f>
        <v>#REF!</v>
      </c>
      <c r="X163" s="170">
        <f>IF(AND(N163=0.75,($O163="TRUE")),ABS('Per Diem Calc Tool'!$R163*0.75),IF($O163="TRUE",ABS('Per Diem Calc Tool'!$R163),""))</f>
      </c>
      <c r="Y163" s="170">
        <f>IF(AND(N163=0.75,($P163="TRUE")),ABS('Per Diem Calc Tool'!$S163*0.75),IF($P163="TRUE",ABS('Per Diem Calc Tool'!$S163),""))</f>
      </c>
      <c r="Z163" s="170">
        <f>IF(AND(N163=0.75,($Q163="TRUE")),ABS('Per Diem Calc Tool'!$T163*0.75),IF($Q163="TRUE",ABS('Per Diem Calc Tool'!$T163),""))</f>
      </c>
    </row>
    <row r="164" spans="12:26" ht="13.5">
      <c r="L164" s="188"/>
      <c r="N164" s="235"/>
      <c r="O164" s="236"/>
      <c r="P164" s="236"/>
      <c r="Q164" s="236"/>
      <c r="R164" s="237">
        <f t="shared" si="9"/>
        <v>0</v>
      </c>
      <c r="S164" s="237">
        <f t="shared" si="10"/>
        <v>0</v>
      </c>
      <c r="T164" s="237">
        <f t="shared" si="11"/>
        <v>0</v>
      </c>
      <c r="U164" s="238" t="e">
        <f>(VLOOKUP($P$9,Per_diem_table,1)*N164)-SUM((X164,Y164,Z164))</f>
        <v>#REF!</v>
      </c>
      <c r="V164" s="237"/>
      <c r="X164" s="170">
        <f>IF(AND(N164=0.75,($O164="TRUE")),ABS('Per Diem Calc Tool'!$R164*0.75),IF($O164="TRUE",ABS('Per Diem Calc Tool'!$R164),""))</f>
      </c>
      <c r="Y164" s="170">
        <f>IF(AND(N164=0.75,($P164="TRUE")),ABS('Per Diem Calc Tool'!$S164*0.75),IF($P164="TRUE",ABS('Per Diem Calc Tool'!$S164),""))</f>
      </c>
      <c r="Z164" s="170">
        <f>IF(AND(N164=0.75,($Q164="TRUE")),ABS('Per Diem Calc Tool'!$T164*0.75),IF($Q164="TRUE",ABS('Per Diem Calc Tool'!$T164),""))</f>
      </c>
    </row>
    <row r="165" spans="12:26" ht="13.5">
      <c r="L165" s="188"/>
      <c r="N165" s="235"/>
      <c r="O165" s="236"/>
      <c r="P165" s="236"/>
      <c r="Q165" s="236"/>
      <c r="R165" s="237">
        <f t="shared" si="9"/>
        <v>0</v>
      </c>
      <c r="S165" s="237">
        <f t="shared" si="10"/>
        <v>0</v>
      </c>
      <c r="T165" s="237">
        <f t="shared" si="11"/>
        <v>0</v>
      </c>
      <c r="U165" s="238" t="e">
        <f>(VLOOKUP($P$9,Per_diem_table,1)*N165)-SUM((X165,Y165,Z165))</f>
        <v>#REF!</v>
      </c>
      <c r="V165" s="237"/>
      <c r="X165" s="170">
        <f>IF(AND(N165=0.75,($O165="TRUE")),ABS('Per Diem Calc Tool'!$R165*0.75),IF($O165="TRUE",ABS('Per Diem Calc Tool'!$R165),""))</f>
      </c>
      <c r="Y165" s="170">
        <f>IF(AND(N165=0.75,($P165="TRUE")),ABS('Per Diem Calc Tool'!$S165*0.75),IF($P165="TRUE",ABS('Per Diem Calc Tool'!$S165),""))</f>
      </c>
      <c r="Z165" s="170">
        <f>IF(AND(N165=0.75,($Q165="TRUE")),ABS('Per Diem Calc Tool'!$T165*0.75),IF($Q165="TRUE",ABS('Per Diem Calc Tool'!$T165),""))</f>
      </c>
    </row>
    <row r="166" spans="12:26" ht="13.5">
      <c r="L166" s="188">
        <v>49</v>
      </c>
      <c r="M166" s="169" t="b">
        <f>+L166&lt;=$O$7</f>
        <v>0</v>
      </c>
      <c r="N166" s="235">
        <f>IF(L166=$O$7,0.75,1)</f>
        <v>1</v>
      </c>
      <c r="O166" s="236" t="str">
        <f>IF(B68="X","TRUE","FALSE")</f>
        <v>FALSE</v>
      </c>
      <c r="P166" s="236" t="str">
        <f>IF(C68="X","TRUE","FALSE")</f>
        <v>FALSE</v>
      </c>
      <c r="Q166" s="236" t="str">
        <f>IF(D68="X","TRUE","FALSE")</f>
        <v>FALSE</v>
      </c>
      <c r="R166" s="237">
        <f t="shared" si="9"/>
        <v>0</v>
      </c>
      <c r="S166" s="237">
        <f t="shared" si="10"/>
        <v>0</v>
      </c>
      <c r="T166" s="237">
        <f t="shared" si="11"/>
        <v>0</v>
      </c>
      <c r="U166" s="238" t="e">
        <f>(VLOOKUP($P$9,Per_diem_table,1)*N166)-SUM((X166,Y166,Z166))</f>
        <v>#REF!</v>
      </c>
      <c r="V166" s="237" t="e">
        <f>IF(U166&lt;5,5,U166)</f>
        <v>#REF!</v>
      </c>
      <c r="X166" s="170">
        <f>IF(AND(N166=0.75,($O166="TRUE")),ABS('Per Diem Calc Tool'!$R166*0.75),IF($O166="TRUE",ABS('Per Diem Calc Tool'!$R166),""))</f>
      </c>
      <c r="Y166" s="170">
        <f>IF(AND(N166=0.75,($P166="TRUE")),ABS('Per Diem Calc Tool'!$S166*0.75),IF($P166="TRUE",ABS('Per Diem Calc Tool'!$S166),""))</f>
      </c>
      <c r="Z166" s="170">
        <f>IF(AND(N166=0.75,($Q166="TRUE")),ABS('Per Diem Calc Tool'!$T166*0.75),IF($Q166="TRUE",ABS('Per Diem Calc Tool'!$T166),""))</f>
      </c>
    </row>
    <row r="167" spans="12:26" ht="13.5">
      <c r="L167" s="188"/>
      <c r="N167" s="235"/>
      <c r="O167" s="236"/>
      <c r="P167" s="236"/>
      <c r="Q167" s="236"/>
      <c r="R167" s="237">
        <f t="shared" si="9"/>
        <v>0</v>
      </c>
      <c r="S167" s="237">
        <f t="shared" si="10"/>
        <v>0</v>
      </c>
      <c r="T167" s="237">
        <f t="shared" si="11"/>
        <v>0</v>
      </c>
      <c r="U167" s="238" t="e">
        <f>(VLOOKUP($P$9,Per_diem_table,1)*N167)-SUM((X167,Y167,Z167))</f>
        <v>#REF!</v>
      </c>
      <c r="V167" s="237"/>
      <c r="X167" s="170">
        <f>IF(AND(N167=0.75,($O167="TRUE")),ABS('Per Diem Calc Tool'!$R167*0.75),IF($O167="TRUE",ABS('Per Diem Calc Tool'!$R167),""))</f>
      </c>
      <c r="Y167" s="170">
        <f>IF(AND(N167=0.75,($P167="TRUE")),ABS('Per Diem Calc Tool'!$S167*0.75),IF($P167="TRUE",ABS('Per Diem Calc Tool'!$S167),""))</f>
      </c>
      <c r="Z167" s="170">
        <f>IF(AND(N167=0.75,($Q167="TRUE")),ABS('Per Diem Calc Tool'!$T167*0.75),IF($Q167="TRUE",ABS('Per Diem Calc Tool'!$T167),""))</f>
      </c>
    </row>
    <row r="168" spans="12:26" ht="13.5">
      <c r="L168" s="188"/>
      <c r="N168" s="235"/>
      <c r="O168" s="236"/>
      <c r="P168" s="236"/>
      <c r="Q168" s="236"/>
      <c r="R168" s="237">
        <f t="shared" si="9"/>
        <v>0</v>
      </c>
      <c r="S168" s="237">
        <f t="shared" si="10"/>
        <v>0</v>
      </c>
      <c r="T168" s="237">
        <f t="shared" si="11"/>
        <v>0</v>
      </c>
      <c r="U168" s="238" t="e">
        <f>(VLOOKUP($P$9,Per_diem_table,1)*N168)-SUM((X168,Y168,Z168))</f>
        <v>#REF!</v>
      </c>
      <c r="V168" s="237"/>
      <c r="X168" s="170">
        <f>IF(AND(N168=0.75,($O168="TRUE")),ABS('Per Diem Calc Tool'!$R168*0.75),IF($O168="TRUE",ABS('Per Diem Calc Tool'!$R168),""))</f>
      </c>
      <c r="Y168" s="170">
        <f>IF(AND(N168=0.75,($P168="TRUE")),ABS('Per Diem Calc Tool'!$S168*0.75),IF($P168="TRUE",ABS('Per Diem Calc Tool'!$S168),""))</f>
      </c>
      <c r="Z168" s="170">
        <f>IF(AND(N168=0.75,($Q168="TRUE")),ABS('Per Diem Calc Tool'!$T168*0.75),IF($Q168="TRUE",ABS('Per Diem Calc Tool'!$T168),""))</f>
      </c>
    </row>
    <row r="169" spans="12:26" ht="13.5">
      <c r="L169" s="188">
        <v>50</v>
      </c>
      <c r="M169" s="169" t="b">
        <f>+L169&lt;=$O$7</f>
        <v>0</v>
      </c>
      <c r="N169" s="235">
        <f>IF(L169=$O$7,0.75,1)</f>
        <v>1</v>
      </c>
      <c r="O169" s="236" t="str">
        <f>IF(B69="X","TRUE","FALSE")</f>
        <v>FALSE</v>
      </c>
      <c r="P169" s="236" t="str">
        <f>IF(C69="X","TRUE","FALSE")</f>
        <v>FALSE</v>
      </c>
      <c r="Q169" s="236" t="str">
        <f>IF(D69="X","TRUE","FALSE")</f>
        <v>FALSE</v>
      </c>
      <c r="R169" s="237">
        <f t="shared" si="9"/>
        <v>0</v>
      </c>
      <c r="S169" s="237">
        <f t="shared" si="10"/>
        <v>0</v>
      </c>
      <c r="T169" s="237">
        <f t="shared" si="11"/>
        <v>0</v>
      </c>
      <c r="U169" s="238" t="e">
        <f>(VLOOKUP($P$9,Per_diem_table,1)*N169)-SUM((X169,Y169,Z169))</f>
        <v>#REF!</v>
      </c>
      <c r="V169" s="237" t="e">
        <f>IF(U169&lt;5,5,U169)</f>
        <v>#REF!</v>
      </c>
      <c r="X169" s="170">
        <f>IF(AND(N169=0.75,($O169="TRUE")),ABS('Per Diem Calc Tool'!$R169*0.75),IF($O169="TRUE",ABS('Per Diem Calc Tool'!$R169),""))</f>
      </c>
      <c r="Y169" s="170">
        <f>IF(AND(N169=0.75,($P169="TRUE")),ABS('Per Diem Calc Tool'!$S169*0.75),IF($P169="TRUE",ABS('Per Diem Calc Tool'!$S169),""))</f>
      </c>
      <c r="Z169" s="170">
        <f>IF(AND(N169=0.75,($Q169="TRUE")),ABS('Per Diem Calc Tool'!$T169*0.75),IF($Q169="TRUE",ABS('Per Diem Calc Tool'!$T169),""))</f>
      </c>
    </row>
    <row r="170" spans="12:26" ht="13.5">
      <c r="L170" s="188"/>
      <c r="N170" s="235"/>
      <c r="O170" s="236"/>
      <c r="P170" s="236"/>
      <c r="Q170" s="236"/>
      <c r="R170" s="237">
        <f t="shared" si="9"/>
        <v>0</v>
      </c>
      <c r="S170" s="237">
        <f t="shared" si="10"/>
        <v>0</v>
      </c>
      <c r="T170" s="237">
        <f t="shared" si="11"/>
        <v>0</v>
      </c>
      <c r="U170" s="238" t="e">
        <f>(VLOOKUP($P$9,Per_diem_table,1)*N170)-SUM((X170,Y170,Z170))</f>
        <v>#REF!</v>
      </c>
      <c r="V170" s="237"/>
      <c r="X170" s="170">
        <f>IF(AND(N170=0.75,($O170="TRUE")),ABS('Per Diem Calc Tool'!$R170*0.75),IF($O170="TRUE",ABS('Per Diem Calc Tool'!$R170),""))</f>
      </c>
      <c r="Y170" s="170">
        <f>IF(AND(N170=0.75,($P170="TRUE")),ABS('Per Diem Calc Tool'!$S170*0.75),IF($P170="TRUE",ABS('Per Diem Calc Tool'!$S170),""))</f>
      </c>
      <c r="Z170" s="170">
        <f>IF(AND(N170=0.75,($Q170="TRUE")),ABS('Per Diem Calc Tool'!$T170*0.75),IF($Q170="TRUE",ABS('Per Diem Calc Tool'!$T170),""))</f>
      </c>
    </row>
    <row r="171" spans="12:26" ht="13.5">
      <c r="L171" s="188"/>
      <c r="N171" s="235"/>
      <c r="O171" s="236"/>
      <c r="P171" s="236"/>
      <c r="Q171" s="236"/>
      <c r="R171" s="237">
        <f t="shared" si="9"/>
        <v>0</v>
      </c>
      <c r="S171" s="237">
        <f t="shared" si="10"/>
        <v>0</v>
      </c>
      <c r="T171" s="237">
        <f t="shared" si="11"/>
        <v>0</v>
      </c>
      <c r="U171" s="238" t="e">
        <f>(VLOOKUP($P$9,Per_diem_table,1)*N171)-SUM((X171,Y171,Z171))</f>
        <v>#REF!</v>
      </c>
      <c r="V171" s="237"/>
      <c r="X171" s="170">
        <f>IF(AND(N171=0.75,($O171="TRUE")),ABS('Per Diem Calc Tool'!$R171*0.75),IF($O171="TRUE",ABS('Per Diem Calc Tool'!$R171),""))</f>
      </c>
      <c r="Y171" s="170">
        <f>IF(AND(N171=0.75,($P171="TRUE")),ABS('Per Diem Calc Tool'!$S171*0.75),IF($P171="TRUE",ABS('Per Diem Calc Tool'!$S171),""))</f>
      </c>
      <c r="Z171" s="170">
        <f>IF(AND(N171=0.75,($Q171="TRUE")),ABS('Per Diem Calc Tool'!$T171*0.75),IF($Q171="TRUE",ABS('Per Diem Calc Tool'!$T171),""))</f>
      </c>
    </row>
    <row r="172" spans="12:26" ht="13.5">
      <c r="L172" s="188">
        <v>51</v>
      </c>
      <c r="M172" s="169" t="b">
        <f>+L172&lt;=$O$7</f>
        <v>0</v>
      </c>
      <c r="N172" s="235">
        <f>IF(L172=$O$7,0.75,1)</f>
        <v>1</v>
      </c>
      <c r="O172" s="236" t="str">
        <f>IF(B70="X","TRUE","FALSE")</f>
        <v>FALSE</v>
      </c>
      <c r="P172" s="236" t="str">
        <f>IF(C70="X","TRUE","FALSE")</f>
        <v>FALSE</v>
      </c>
      <c r="Q172" s="236" t="str">
        <f>IF(D70="X","TRUE","FALSE")</f>
        <v>FALSE</v>
      </c>
      <c r="R172" s="237">
        <f t="shared" si="9"/>
        <v>0</v>
      </c>
      <c r="S172" s="237">
        <f t="shared" si="10"/>
        <v>0</v>
      </c>
      <c r="T172" s="237">
        <f t="shared" si="11"/>
        <v>0</v>
      </c>
      <c r="U172" s="238" t="e">
        <f>(VLOOKUP($P$9,Per_diem_table,1)*N172)-SUM((X172,Y172,Z172))</f>
        <v>#REF!</v>
      </c>
      <c r="V172" s="237" t="e">
        <f>IF(U172&lt;5,5,U172)</f>
        <v>#REF!</v>
      </c>
      <c r="X172" s="170">
        <f>IF(AND(N172=0.75,($O172="TRUE")),ABS('Per Diem Calc Tool'!$R172*0.75),IF($O172="TRUE",ABS('Per Diem Calc Tool'!$R172),""))</f>
      </c>
      <c r="Y172" s="170">
        <f>IF(AND(N172=0.75,($P172="TRUE")),ABS('Per Diem Calc Tool'!$S172*0.75),IF($P172="TRUE",ABS('Per Diem Calc Tool'!$S172),""))</f>
      </c>
      <c r="Z172" s="170">
        <f>IF(AND(N172=0.75,($Q172="TRUE")),ABS('Per Diem Calc Tool'!$T172*0.75),IF($Q172="TRUE",ABS('Per Diem Calc Tool'!$T172),""))</f>
      </c>
    </row>
    <row r="173" spans="12:26" ht="13.5">
      <c r="L173" s="188"/>
      <c r="N173" s="235"/>
      <c r="O173" s="236"/>
      <c r="P173" s="236"/>
      <c r="Q173" s="236"/>
      <c r="R173" s="237">
        <f t="shared" si="9"/>
        <v>0</v>
      </c>
      <c r="S173" s="237">
        <f t="shared" si="10"/>
        <v>0</v>
      </c>
      <c r="T173" s="237">
        <f t="shared" si="11"/>
        <v>0</v>
      </c>
      <c r="U173" s="238" t="e">
        <f>(VLOOKUP($P$9,Per_diem_table,1)*N173)-SUM((X173,Y173,Z173))</f>
        <v>#REF!</v>
      </c>
      <c r="V173" s="237"/>
      <c r="X173" s="170">
        <f>IF(AND(N173=0.75,($O173="TRUE")),ABS('Per Diem Calc Tool'!$R173*0.75),IF($O173="TRUE",ABS('Per Diem Calc Tool'!$R173),""))</f>
      </c>
      <c r="Y173" s="170">
        <f>IF(AND(N173=0.75,($P173="TRUE")),ABS('Per Diem Calc Tool'!$S173*0.75),IF($P173="TRUE",ABS('Per Diem Calc Tool'!$S173),""))</f>
      </c>
      <c r="Z173" s="170">
        <f>IF(AND(N173=0.75,($Q173="TRUE")),ABS('Per Diem Calc Tool'!$T173*0.75),IF($Q173="TRUE",ABS('Per Diem Calc Tool'!$T173),""))</f>
      </c>
    </row>
    <row r="174" spans="12:26" ht="13.5">
      <c r="L174" s="188"/>
      <c r="N174" s="235"/>
      <c r="O174" s="236"/>
      <c r="P174" s="236"/>
      <c r="Q174" s="236"/>
      <c r="R174" s="237">
        <f t="shared" si="9"/>
        <v>0</v>
      </c>
      <c r="S174" s="237">
        <f t="shared" si="10"/>
        <v>0</v>
      </c>
      <c r="T174" s="237">
        <f t="shared" si="11"/>
        <v>0</v>
      </c>
      <c r="U174" s="238" t="e">
        <f>(VLOOKUP($P$9,Per_diem_table,1)*N174)-SUM((X174,Y174,Z174))</f>
        <v>#REF!</v>
      </c>
      <c r="V174" s="237"/>
      <c r="X174" s="170">
        <f>IF(AND(N174=0.75,($O174="TRUE")),ABS('Per Diem Calc Tool'!$R174*0.75),IF($O174="TRUE",ABS('Per Diem Calc Tool'!$R174),""))</f>
      </c>
      <c r="Y174" s="170">
        <f>IF(AND(N174=0.75,($P174="TRUE")),ABS('Per Diem Calc Tool'!$S174*0.75),IF($P174="TRUE",ABS('Per Diem Calc Tool'!$S174),""))</f>
      </c>
      <c r="Z174" s="170">
        <f>IF(AND(N174=0.75,($Q174="TRUE")),ABS('Per Diem Calc Tool'!$T174*0.75),IF($Q174="TRUE",ABS('Per Diem Calc Tool'!$T174),""))</f>
      </c>
    </row>
    <row r="175" spans="12:26" ht="13.5">
      <c r="L175" s="188">
        <v>52</v>
      </c>
      <c r="M175" s="169" t="b">
        <f>+L175&lt;=$O$7</f>
        <v>0</v>
      </c>
      <c r="N175" s="235">
        <f>IF(L175=$O$7,0.75,1)</f>
        <v>1</v>
      </c>
      <c r="O175" s="236" t="str">
        <f>IF(B71="X","TRUE","FALSE")</f>
        <v>FALSE</v>
      </c>
      <c r="P175" s="236" t="str">
        <f>IF(C71="X","TRUE","FALSE")</f>
        <v>FALSE</v>
      </c>
      <c r="Q175" s="236" t="str">
        <f>IF(D71="X","TRUE","FALSE")</f>
        <v>FALSE</v>
      </c>
      <c r="R175" s="237">
        <f t="shared" si="9"/>
        <v>0</v>
      </c>
      <c r="S175" s="237">
        <f t="shared" si="10"/>
        <v>0</v>
      </c>
      <c r="T175" s="237">
        <f t="shared" si="11"/>
        <v>0</v>
      </c>
      <c r="U175" s="238" t="e">
        <f>(VLOOKUP($P$9,Per_diem_table,1)*N175)-SUM((X175,Y175,Z175))</f>
        <v>#REF!</v>
      </c>
      <c r="V175" s="237" t="e">
        <f>IF(U175&lt;5,5,U175)</f>
        <v>#REF!</v>
      </c>
      <c r="X175" s="170">
        <f>IF(AND(N175=0.75,($O175="TRUE")),ABS('Per Diem Calc Tool'!$R175*0.75),IF($O175="TRUE",ABS('Per Diem Calc Tool'!$R175),""))</f>
      </c>
      <c r="Y175" s="170">
        <f>IF(AND(N175=0.75,($P175="TRUE")),ABS('Per Diem Calc Tool'!$S175*0.75),IF($P175="TRUE",ABS('Per Diem Calc Tool'!$S175),""))</f>
      </c>
      <c r="Z175" s="170">
        <f>IF(AND(N175=0.75,($Q175="TRUE")),ABS('Per Diem Calc Tool'!$T175*0.75),IF($Q175="TRUE",ABS('Per Diem Calc Tool'!$T175),""))</f>
      </c>
    </row>
    <row r="176" spans="12:26" ht="13.5">
      <c r="L176" s="188"/>
      <c r="N176" s="235"/>
      <c r="O176" s="236"/>
      <c r="P176" s="236"/>
      <c r="Q176" s="236"/>
      <c r="R176" s="237">
        <f t="shared" si="9"/>
        <v>0</v>
      </c>
      <c r="S176" s="237">
        <f t="shared" si="10"/>
        <v>0</v>
      </c>
      <c r="T176" s="237">
        <f t="shared" si="11"/>
        <v>0</v>
      </c>
      <c r="U176" s="238" t="e">
        <f>(VLOOKUP($P$9,Per_diem_table,1)*N176)-SUM((X176,Y176,Z176))</f>
        <v>#REF!</v>
      </c>
      <c r="V176" s="237"/>
      <c r="X176" s="170">
        <f>IF(AND(N176=0.75,($O176="TRUE")),ABS('Per Diem Calc Tool'!$R176*0.75),IF($O176="TRUE",ABS('Per Diem Calc Tool'!$R176),""))</f>
      </c>
      <c r="Y176" s="170">
        <f>IF(AND(N176=0.75,($P176="TRUE")),ABS('Per Diem Calc Tool'!$S176*0.75),IF($P176="TRUE",ABS('Per Diem Calc Tool'!$S176),""))</f>
      </c>
      <c r="Z176" s="170">
        <f>IF(AND(N176=0.75,($Q176="TRUE")),ABS('Per Diem Calc Tool'!$T176*0.75),IF($Q176="TRUE",ABS('Per Diem Calc Tool'!$T176),""))</f>
      </c>
    </row>
    <row r="177" spans="12:26" ht="13.5">
      <c r="L177" s="188"/>
      <c r="N177" s="235"/>
      <c r="O177" s="236"/>
      <c r="P177" s="236"/>
      <c r="Q177" s="236"/>
      <c r="R177" s="237">
        <f t="shared" si="9"/>
        <v>0</v>
      </c>
      <c r="S177" s="237">
        <f t="shared" si="10"/>
        <v>0</v>
      </c>
      <c r="T177" s="237">
        <f t="shared" si="11"/>
        <v>0</v>
      </c>
      <c r="U177" s="238" t="e">
        <f>(VLOOKUP($P$9,Per_diem_table,1)*N177)-SUM((X177,Y177,Z177))</f>
        <v>#REF!</v>
      </c>
      <c r="V177" s="237"/>
      <c r="X177" s="170">
        <f>IF(AND(N177=0.75,($O177="TRUE")),ABS('Per Diem Calc Tool'!$R177*0.75),IF($O177="TRUE",ABS('Per Diem Calc Tool'!$R177),""))</f>
      </c>
      <c r="Y177" s="170">
        <f>IF(AND(N177=0.75,($P177="TRUE")),ABS('Per Diem Calc Tool'!$S177*0.75),IF($P177="TRUE",ABS('Per Diem Calc Tool'!$S177),""))</f>
      </c>
      <c r="Z177" s="170">
        <f>IF(AND(N177=0.75,($Q177="TRUE")),ABS('Per Diem Calc Tool'!$T177*0.75),IF($Q177="TRUE",ABS('Per Diem Calc Tool'!$T177),""))</f>
      </c>
    </row>
    <row r="178" spans="12:26" ht="13.5">
      <c r="L178" s="188">
        <v>53</v>
      </c>
      <c r="M178" s="169" t="b">
        <f>+L178&lt;=$O$7</f>
        <v>0</v>
      </c>
      <c r="N178" s="235">
        <f>IF(L178=$O$7,0.75,1)</f>
        <v>1</v>
      </c>
      <c r="O178" s="236" t="str">
        <f>IF(B72="X","TRUE","FALSE")</f>
        <v>FALSE</v>
      </c>
      <c r="P178" s="236" t="str">
        <f>IF(C72="X","TRUE","FALSE")</f>
        <v>FALSE</v>
      </c>
      <c r="Q178" s="236" t="str">
        <f>IF(D72="X","TRUE","FALSE")</f>
        <v>FALSE</v>
      </c>
      <c r="R178" s="237">
        <f t="shared" si="9"/>
        <v>0</v>
      </c>
      <c r="S178" s="237">
        <f t="shared" si="10"/>
        <v>0</v>
      </c>
      <c r="T178" s="237">
        <f t="shared" si="11"/>
        <v>0</v>
      </c>
      <c r="U178" s="238" t="e">
        <f>(VLOOKUP($P$9,Per_diem_table,1)*N178)-SUM((X178,Y178,Z178))</f>
        <v>#REF!</v>
      </c>
      <c r="V178" s="237" t="e">
        <f>IF(U178&lt;5,5,U178)</f>
        <v>#REF!</v>
      </c>
      <c r="X178" s="170">
        <f>IF(AND(N178=0.75,($O178="TRUE")),ABS('Per Diem Calc Tool'!$R178*0.75),IF($O178="TRUE",ABS('Per Diem Calc Tool'!$R178),""))</f>
      </c>
      <c r="Y178" s="170">
        <f>IF(AND(N178=0.75,($P178="TRUE")),ABS('Per Diem Calc Tool'!$S178*0.75),IF($P178="TRUE",ABS('Per Diem Calc Tool'!$S178),""))</f>
      </c>
      <c r="Z178" s="170">
        <f>IF(AND(N178=0.75,($Q178="TRUE")),ABS('Per Diem Calc Tool'!$T178*0.75),IF($Q178="TRUE",ABS('Per Diem Calc Tool'!$T178),""))</f>
      </c>
    </row>
    <row r="179" spans="12:26" ht="13.5">
      <c r="L179" s="188"/>
      <c r="N179" s="235"/>
      <c r="O179" s="236"/>
      <c r="P179" s="236"/>
      <c r="Q179" s="236"/>
      <c r="R179" s="237">
        <f t="shared" si="9"/>
        <v>0</v>
      </c>
      <c r="S179" s="237">
        <f t="shared" si="10"/>
        <v>0</v>
      </c>
      <c r="T179" s="237">
        <f t="shared" si="11"/>
        <v>0</v>
      </c>
      <c r="U179" s="238" t="e">
        <f>(VLOOKUP($P$9,Per_diem_table,1)*N179)-SUM((X179,Y179,Z179))</f>
        <v>#REF!</v>
      </c>
      <c r="V179" s="237"/>
      <c r="X179" s="170">
        <f>IF(AND(N179=0.75,($O179="TRUE")),ABS('Per Diem Calc Tool'!$R179*0.75),IF($O179="TRUE",ABS('Per Diem Calc Tool'!$R179),""))</f>
      </c>
      <c r="Y179" s="170">
        <f>IF(AND(N179=0.75,($P179="TRUE")),ABS('Per Diem Calc Tool'!$S179*0.75),IF($P179="TRUE",ABS('Per Diem Calc Tool'!$S179),""))</f>
      </c>
      <c r="Z179" s="170">
        <f>IF(AND(N179=0.75,($Q179="TRUE")),ABS('Per Diem Calc Tool'!$T179*0.75),IF($Q179="TRUE",ABS('Per Diem Calc Tool'!$T179),""))</f>
      </c>
    </row>
    <row r="180" spans="12:26" ht="13.5">
      <c r="L180" s="188"/>
      <c r="N180" s="235"/>
      <c r="O180" s="236"/>
      <c r="P180" s="236"/>
      <c r="Q180" s="236"/>
      <c r="R180" s="237">
        <f t="shared" si="9"/>
        <v>0</v>
      </c>
      <c r="S180" s="237">
        <f t="shared" si="10"/>
        <v>0</v>
      </c>
      <c r="T180" s="237">
        <f t="shared" si="11"/>
        <v>0</v>
      </c>
      <c r="U180" s="238" t="e">
        <f>(VLOOKUP($P$9,Per_diem_table,1)*N180)-SUM((X180,Y180,Z180))</f>
        <v>#REF!</v>
      </c>
      <c r="V180" s="237"/>
      <c r="X180" s="170">
        <f>IF(AND(N180=0.75,($O180="TRUE")),ABS('Per Diem Calc Tool'!$R180*0.75),IF($O180="TRUE",ABS('Per Diem Calc Tool'!$R180),""))</f>
      </c>
      <c r="Y180" s="170">
        <f>IF(AND(N180=0.75,($P180="TRUE")),ABS('Per Diem Calc Tool'!$S180*0.75),IF($P180="TRUE",ABS('Per Diem Calc Tool'!$S180),""))</f>
      </c>
      <c r="Z180" s="170">
        <f>IF(AND(N180=0.75,($Q180="TRUE")),ABS('Per Diem Calc Tool'!$T180*0.75),IF($Q180="TRUE",ABS('Per Diem Calc Tool'!$T180),""))</f>
      </c>
    </row>
    <row r="181" spans="12:26" ht="13.5">
      <c r="L181" s="188">
        <v>54</v>
      </c>
      <c r="M181" s="169" t="b">
        <f>+L181&lt;=$O$7</f>
        <v>0</v>
      </c>
      <c r="N181" s="235">
        <f>IF(L181=$O$7,0.75,1)</f>
        <v>1</v>
      </c>
      <c r="O181" s="236" t="str">
        <f>IF(B73="X","TRUE","FALSE")</f>
        <v>FALSE</v>
      </c>
      <c r="P181" s="236" t="str">
        <f>IF(C73="X","TRUE","FALSE")</f>
        <v>FALSE</v>
      </c>
      <c r="Q181" s="236" t="str">
        <f>IF(D73="X","TRUE","FALSE")</f>
        <v>FALSE</v>
      </c>
      <c r="R181" s="237">
        <f t="shared" si="9"/>
        <v>0</v>
      </c>
      <c r="S181" s="237">
        <f t="shared" si="10"/>
        <v>0</v>
      </c>
      <c r="T181" s="237">
        <f t="shared" si="11"/>
        <v>0</v>
      </c>
      <c r="U181" s="238" t="e">
        <f>(VLOOKUP($P$9,Per_diem_table,1)*N181)-SUM((X181,Y181,Z181))</f>
        <v>#REF!</v>
      </c>
      <c r="V181" s="237" t="e">
        <f>IF(U181&lt;5,5,U181)</f>
        <v>#REF!</v>
      </c>
      <c r="X181" s="170">
        <f>IF(AND(N181=0.75,($O181="TRUE")),ABS('Per Diem Calc Tool'!$R181*0.75),IF($O181="TRUE",ABS('Per Diem Calc Tool'!$R181),""))</f>
      </c>
      <c r="Y181" s="170">
        <f>IF(AND(N181=0.75,($P181="TRUE")),ABS('Per Diem Calc Tool'!$S181*0.75),IF($P181="TRUE",ABS('Per Diem Calc Tool'!$S181),""))</f>
      </c>
      <c r="Z181" s="170">
        <f>IF(AND(N181=0.75,($Q181="TRUE")),ABS('Per Diem Calc Tool'!$T181*0.75),IF($Q181="TRUE",ABS('Per Diem Calc Tool'!$T181),""))</f>
      </c>
    </row>
    <row r="182" spans="12:26" ht="13.5">
      <c r="L182" s="188"/>
      <c r="N182" s="235"/>
      <c r="O182" s="236"/>
      <c r="P182" s="236"/>
      <c r="Q182" s="236"/>
      <c r="R182" s="237">
        <f t="shared" si="9"/>
        <v>0</v>
      </c>
      <c r="S182" s="237">
        <f t="shared" si="10"/>
        <v>0</v>
      </c>
      <c r="T182" s="237">
        <f t="shared" si="11"/>
        <v>0</v>
      </c>
      <c r="U182" s="238" t="e">
        <f>(VLOOKUP($P$9,Per_diem_table,1)*N182)-SUM((X182,Y182,Z182))</f>
        <v>#REF!</v>
      </c>
      <c r="V182" s="237"/>
      <c r="X182" s="170">
        <f>IF(AND(N182=0.75,($O182="TRUE")),ABS('Per Diem Calc Tool'!$R182*0.75),IF($O182="TRUE",ABS('Per Diem Calc Tool'!$R182),""))</f>
      </c>
      <c r="Y182" s="170">
        <f>IF(AND(N182=0.75,($P182="TRUE")),ABS('Per Diem Calc Tool'!$S182*0.75),IF($P182="TRUE",ABS('Per Diem Calc Tool'!$S182),""))</f>
      </c>
      <c r="Z182" s="170">
        <f>IF(AND(N182=0.75,($Q182="TRUE")),ABS('Per Diem Calc Tool'!$T182*0.75),IF($Q182="TRUE",ABS('Per Diem Calc Tool'!$T182),""))</f>
      </c>
    </row>
    <row r="183" spans="12:26" ht="13.5">
      <c r="L183" s="188"/>
      <c r="N183" s="235"/>
      <c r="O183" s="236"/>
      <c r="P183" s="236"/>
      <c r="Q183" s="236"/>
      <c r="R183" s="237">
        <f t="shared" si="9"/>
        <v>0</v>
      </c>
      <c r="S183" s="237">
        <f t="shared" si="10"/>
        <v>0</v>
      </c>
      <c r="T183" s="237">
        <f t="shared" si="11"/>
        <v>0</v>
      </c>
      <c r="U183" s="238" t="e">
        <f>(VLOOKUP($P$9,Per_diem_table,1)*N183)-SUM((X183,Y183,Z183))</f>
        <v>#REF!</v>
      </c>
      <c r="V183" s="237"/>
      <c r="X183" s="170">
        <f>IF(AND(N183=0.75,($O183="TRUE")),ABS('Per Diem Calc Tool'!$R183*0.75),IF($O183="TRUE",ABS('Per Diem Calc Tool'!$R183),""))</f>
      </c>
      <c r="Y183" s="170">
        <f>IF(AND(N183=0.75,($P183="TRUE")),ABS('Per Diem Calc Tool'!$S183*0.75),IF($P183="TRUE",ABS('Per Diem Calc Tool'!$S183),""))</f>
      </c>
      <c r="Z183" s="170">
        <f>IF(AND(N183=0.75,($Q183="TRUE")),ABS('Per Diem Calc Tool'!$T183*0.75),IF($Q183="TRUE",ABS('Per Diem Calc Tool'!$T183),""))</f>
      </c>
    </row>
    <row r="184" spans="12:26" ht="13.5">
      <c r="L184" s="188">
        <v>55</v>
      </c>
      <c r="M184" s="169" t="b">
        <f>+L184&lt;=$O$7</f>
        <v>0</v>
      </c>
      <c r="N184" s="235">
        <f>IF(L184=$O$7,0.75,1)</f>
        <v>1</v>
      </c>
      <c r="O184" s="236" t="str">
        <f>IF(B74="X","TRUE","FALSE")</f>
        <v>FALSE</v>
      </c>
      <c r="P184" s="236" t="str">
        <f>IF(C74="X","TRUE","FALSE")</f>
        <v>FALSE</v>
      </c>
      <c r="Q184" s="236" t="str">
        <f>IF(D74="X","TRUE","FALSE")</f>
        <v>FALSE</v>
      </c>
      <c r="R184" s="237">
        <f t="shared" si="9"/>
        <v>0</v>
      </c>
      <c r="S184" s="237">
        <f t="shared" si="10"/>
        <v>0</v>
      </c>
      <c r="T184" s="237">
        <f t="shared" si="11"/>
        <v>0</v>
      </c>
      <c r="U184" s="238" t="e">
        <f>(VLOOKUP($P$9,Per_diem_table,1)*N184)-SUM((X184,Y184,Z184))</f>
        <v>#REF!</v>
      </c>
      <c r="V184" s="237" t="e">
        <f>IF(U184&lt;5,5,U184)</f>
        <v>#REF!</v>
      </c>
      <c r="X184" s="170">
        <f>IF(AND(N184=0.75,($O184="TRUE")),ABS('Per Diem Calc Tool'!$R184*0.75),IF($O184="TRUE",ABS('Per Diem Calc Tool'!$R184),""))</f>
      </c>
      <c r="Y184" s="170">
        <f>IF(AND(N184=0.75,($P184="TRUE")),ABS('Per Diem Calc Tool'!$S184*0.75),IF($P184="TRUE",ABS('Per Diem Calc Tool'!$S184),""))</f>
      </c>
      <c r="Z184" s="170">
        <f>IF(AND(N184=0.75,($Q184="TRUE")),ABS('Per Diem Calc Tool'!$T184*0.75),IF($Q184="TRUE",ABS('Per Diem Calc Tool'!$T184),""))</f>
      </c>
    </row>
    <row r="185" spans="12:26" ht="13.5">
      <c r="L185" s="188"/>
      <c r="N185" s="235"/>
      <c r="O185" s="236"/>
      <c r="P185" s="236"/>
      <c r="Q185" s="236"/>
      <c r="R185" s="237">
        <f t="shared" si="9"/>
        <v>0</v>
      </c>
      <c r="S185" s="237">
        <f t="shared" si="10"/>
        <v>0</v>
      </c>
      <c r="T185" s="237">
        <f t="shared" si="11"/>
        <v>0</v>
      </c>
      <c r="U185" s="238" t="e">
        <f>(VLOOKUP($P$9,Per_diem_table,1)*N185)-SUM((X185,Y185,Z185))</f>
        <v>#REF!</v>
      </c>
      <c r="V185" s="237"/>
      <c r="X185" s="170">
        <f>IF(AND(N185=0.75,($O185="TRUE")),ABS('Per Diem Calc Tool'!$R185*0.75),IF($O185="TRUE",ABS('Per Diem Calc Tool'!$R185),""))</f>
      </c>
      <c r="Y185" s="170">
        <f>IF(AND(N185=0.75,($P185="TRUE")),ABS('Per Diem Calc Tool'!$S185*0.75),IF($P185="TRUE",ABS('Per Diem Calc Tool'!$S185),""))</f>
      </c>
      <c r="Z185" s="170">
        <f>IF(AND(N185=0.75,($Q185="TRUE")),ABS('Per Diem Calc Tool'!$T185*0.75),IF($Q185="TRUE",ABS('Per Diem Calc Tool'!$T185),""))</f>
      </c>
    </row>
    <row r="186" spans="12:26" ht="13.5">
      <c r="L186" s="188"/>
      <c r="N186" s="235"/>
      <c r="O186" s="236"/>
      <c r="P186" s="236"/>
      <c r="Q186" s="236"/>
      <c r="R186" s="237">
        <f t="shared" si="9"/>
        <v>0</v>
      </c>
      <c r="S186" s="237">
        <f t="shared" si="10"/>
        <v>0</v>
      </c>
      <c r="T186" s="237">
        <f t="shared" si="11"/>
        <v>0</v>
      </c>
      <c r="U186" s="238" t="e">
        <f>(VLOOKUP($P$9,Per_diem_table,1)*N186)-SUM((X186,Y186,Z186))</f>
        <v>#REF!</v>
      </c>
      <c r="V186" s="237"/>
      <c r="X186" s="170">
        <f>IF(AND(N186=0.75,($O186="TRUE")),ABS('Per Diem Calc Tool'!$R186*0.75),IF($O186="TRUE",ABS('Per Diem Calc Tool'!$R186),""))</f>
      </c>
      <c r="Y186" s="170">
        <f>IF(AND(N186=0.75,($P186="TRUE")),ABS('Per Diem Calc Tool'!$S186*0.75),IF($P186="TRUE",ABS('Per Diem Calc Tool'!$S186),""))</f>
      </c>
      <c r="Z186" s="170">
        <f>IF(AND(N186=0.75,($Q186="TRUE")),ABS('Per Diem Calc Tool'!$T186*0.75),IF($Q186="TRUE",ABS('Per Diem Calc Tool'!$T186),""))</f>
      </c>
    </row>
    <row r="187" spans="12:26" ht="13.5">
      <c r="L187" s="188">
        <v>56</v>
      </c>
      <c r="M187" s="169" t="b">
        <f>+L187&lt;=$O$7</f>
        <v>0</v>
      </c>
      <c r="N187" s="235">
        <f>IF(L187=$O$7,0.75,1)</f>
        <v>1</v>
      </c>
      <c r="O187" s="236" t="str">
        <f>IF(B75="X","TRUE","FALSE")</f>
        <v>FALSE</v>
      </c>
      <c r="P187" s="236" t="str">
        <f>IF(C75="X","TRUE","FALSE")</f>
        <v>FALSE</v>
      </c>
      <c r="Q187" s="236" t="str">
        <f>IF(D75="X","TRUE","FALSE")</f>
        <v>FALSE</v>
      </c>
      <c r="R187" s="237">
        <f t="shared" si="9"/>
        <v>0</v>
      </c>
      <c r="S187" s="237">
        <f t="shared" si="10"/>
        <v>0</v>
      </c>
      <c r="T187" s="237">
        <f t="shared" si="11"/>
        <v>0</v>
      </c>
      <c r="U187" s="238" t="e">
        <f>(VLOOKUP($P$9,Per_diem_table,1)*N187)-SUM((X187,Y187,Z187))</f>
        <v>#REF!</v>
      </c>
      <c r="V187" s="237" t="e">
        <f>IF(U187&lt;5,5,U187)</f>
        <v>#REF!</v>
      </c>
      <c r="X187" s="170">
        <f>IF(AND(N187=0.75,($O187="TRUE")),ABS('Per Diem Calc Tool'!$R187*0.75),IF($O187="TRUE",ABS('Per Diem Calc Tool'!$R187),""))</f>
      </c>
      <c r="Y187" s="170">
        <f>IF(AND(N187=0.75,($P187="TRUE")),ABS('Per Diem Calc Tool'!$S187*0.75),IF($P187="TRUE",ABS('Per Diem Calc Tool'!$S187),""))</f>
      </c>
      <c r="Z187" s="170">
        <f>IF(AND(N187=0.75,($Q187="TRUE")),ABS('Per Diem Calc Tool'!$T187*0.75),IF($Q187="TRUE",ABS('Per Diem Calc Tool'!$T187),""))</f>
      </c>
    </row>
    <row r="188" spans="12:26" ht="13.5">
      <c r="L188" s="188"/>
      <c r="N188" s="235"/>
      <c r="O188" s="236"/>
      <c r="P188" s="236"/>
      <c r="Q188" s="236"/>
      <c r="R188" s="237">
        <f t="shared" si="9"/>
        <v>0</v>
      </c>
      <c r="S188" s="237">
        <f t="shared" si="10"/>
        <v>0</v>
      </c>
      <c r="T188" s="237">
        <f t="shared" si="11"/>
        <v>0</v>
      </c>
      <c r="U188" s="238" t="e">
        <f>(VLOOKUP($P$9,Per_diem_table,1)*N188)-SUM((X188,Y188,Z188))</f>
        <v>#REF!</v>
      </c>
      <c r="V188" s="237"/>
      <c r="X188" s="170">
        <f>IF(AND(N188=0.75,($O188="TRUE")),ABS('Per Diem Calc Tool'!$R188*0.75),IF($O188="TRUE",ABS('Per Diem Calc Tool'!$R188),""))</f>
      </c>
      <c r="Y188" s="170">
        <f>IF(AND(N188=0.75,($P188="TRUE")),ABS('Per Diem Calc Tool'!$S188*0.75),IF($P188="TRUE",ABS('Per Diem Calc Tool'!$S188),""))</f>
      </c>
      <c r="Z188" s="170">
        <f>IF(AND(N188=0.75,($Q188="TRUE")),ABS('Per Diem Calc Tool'!$T188*0.75),IF($Q188="TRUE",ABS('Per Diem Calc Tool'!$T188),""))</f>
      </c>
    </row>
    <row r="189" spans="12:26" ht="13.5">
      <c r="L189" s="188"/>
      <c r="N189" s="235"/>
      <c r="O189" s="236"/>
      <c r="P189" s="236"/>
      <c r="Q189" s="236"/>
      <c r="R189" s="237">
        <f t="shared" si="9"/>
        <v>0</v>
      </c>
      <c r="S189" s="237">
        <f t="shared" si="10"/>
        <v>0</v>
      </c>
      <c r="T189" s="237">
        <f t="shared" si="11"/>
        <v>0</v>
      </c>
      <c r="U189" s="238" t="e">
        <f>(VLOOKUP($P$9,Per_diem_table,1)*N189)-SUM((X189,Y189,Z189))</f>
        <v>#REF!</v>
      </c>
      <c r="V189" s="237"/>
      <c r="X189" s="170">
        <f>IF(AND(N189=0.75,($O189="TRUE")),ABS('Per Diem Calc Tool'!$R189*0.75),IF($O189="TRUE",ABS('Per Diem Calc Tool'!$R189),""))</f>
      </c>
      <c r="Y189" s="170">
        <f>IF(AND(N189=0.75,($P189="TRUE")),ABS('Per Diem Calc Tool'!$S189*0.75),IF($P189="TRUE",ABS('Per Diem Calc Tool'!$S189),""))</f>
      </c>
      <c r="Z189" s="170">
        <f>IF(AND(N189=0.75,($Q189="TRUE")),ABS('Per Diem Calc Tool'!$T189*0.75),IF($Q189="TRUE",ABS('Per Diem Calc Tool'!$T189),""))</f>
      </c>
    </row>
    <row r="190" spans="12:26" ht="13.5">
      <c r="L190" s="188">
        <v>57</v>
      </c>
      <c r="M190" s="169" t="b">
        <f>+L190&lt;=$O$7</f>
        <v>0</v>
      </c>
      <c r="N190" s="235">
        <f>IF(L190=$O$7,0.75,1)</f>
        <v>1</v>
      </c>
      <c r="O190" s="236" t="str">
        <f>IF(B76="X","TRUE","FALSE")</f>
        <v>FALSE</v>
      </c>
      <c r="P190" s="236" t="str">
        <f>IF(C76="X","TRUE","FALSE")</f>
        <v>FALSE</v>
      </c>
      <c r="Q190" s="236" t="str">
        <f>IF(D76="X","TRUE","FALSE")</f>
        <v>FALSE</v>
      </c>
      <c r="R190" s="237">
        <f t="shared" si="9"/>
        <v>0</v>
      </c>
      <c r="S190" s="237">
        <f t="shared" si="10"/>
        <v>0</v>
      </c>
      <c r="T190" s="237">
        <f t="shared" si="11"/>
        <v>0</v>
      </c>
      <c r="U190" s="238" t="e">
        <f>(VLOOKUP($P$9,Per_diem_table,1)*N190)-SUM((X190,Y190,Z190))</f>
        <v>#REF!</v>
      </c>
      <c r="V190" s="237" t="e">
        <f>IF(U190&lt;5,5,U190)</f>
        <v>#REF!</v>
      </c>
      <c r="X190" s="170">
        <f>IF(AND(N190=0.75,($O190="TRUE")),ABS('Per Diem Calc Tool'!$R190*0.75),IF($O190="TRUE",ABS('Per Diem Calc Tool'!$R190),""))</f>
      </c>
      <c r="Y190" s="170">
        <f>IF(AND(N190=0.75,($P190="TRUE")),ABS('Per Diem Calc Tool'!$S190*0.75),IF($P190="TRUE",ABS('Per Diem Calc Tool'!$S190),""))</f>
      </c>
      <c r="Z190" s="170">
        <f>IF(AND(N190=0.75,($Q190="TRUE")),ABS('Per Diem Calc Tool'!$T190*0.75),IF($Q190="TRUE",ABS('Per Diem Calc Tool'!$T190),""))</f>
      </c>
    </row>
    <row r="191" spans="12:26" ht="13.5">
      <c r="L191" s="188"/>
      <c r="N191" s="235"/>
      <c r="O191" s="236"/>
      <c r="P191" s="236"/>
      <c r="Q191" s="236"/>
      <c r="R191" s="237">
        <f t="shared" si="9"/>
        <v>0</v>
      </c>
      <c r="S191" s="237">
        <f t="shared" si="10"/>
        <v>0</v>
      </c>
      <c r="T191" s="237">
        <f t="shared" si="11"/>
        <v>0</v>
      </c>
      <c r="U191" s="238" t="e">
        <f>(VLOOKUP($P$9,Per_diem_table,1)*N191)-SUM((X191,Y191,Z191))</f>
        <v>#REF!</v>
      </c>
      <c r="V191" s="237"/>
      <c r="X191" s="170">
        <f>IF(AND(N191=0.75,($O191="TRUE")),ABS('Per Diem Calc Tool'!$R191*0.75),IF($O191="TRUE",ABS('Per Diem Calc Tool'!$R191),""))</f>
      </c>
      <c r="Y191" s="170">
        <f>IF(AND(N191=0.75,($P191="TRUE")),ABS('Per Diem Calc Tool'!$S191*0.75),IF($P191="TRUE",ABS('Per Diem Calc Tool'!$S191),""))</f>
      </c>
      <c r="Z191" s="170">
        <f>IF(AND(N191=0.75,($Q191="TRUE")),ABS('Per Diem Calc Tool'!$T191*0.75),IF($Q191="TRUE",ABS('Per Diem Calc Tool'!$T191),""))</f>
      </c>
    </row>
    <row r="192" spans="12:26" ht="13.5">
      <c r="L192" s="188"/>
      <c r="N192" s="235"/>
      <c r="O192" s="236"/>
      <c r="P192" s="236"/>
      <c r="Q192" s="236"/>
      <c r="R192" s="237">
        <f t="shared" si="9"/>
        <v>0</v>
      </c>
      <c r="S192" s="237">
        <f t="shared" si="10"/>
        <v>0</v>
      </c>
      <c r="T192" s="237">
        <f t="shared" si="11"/>
        <v>0</v>
      </c>
      <c r="U192" s="238" t="e">
        <f>(VLOOKUP($P$9,Per_diem_table,1)*N192)-SUM((X192,Y192,Z192))</f>
        <v>#REF!</v>
      </c>
      <c r="V192" s="237"/>
      <c r="X192" s="170">
        <f>IF(AND(N192=0.75,($O192="TRUE")),ABS('Per Diem Calc Tool'!$R192*0.75),IF($O192="TRUE",ABS('Per Diem Calc Tool'!$R192),""))</f>
      </c>
      <c r="Y192" s="170">
        <f>IF(AND(N192=0.75,($P192="TRUE")),ABS('Per Diem Calc Tool'!$S192*0.75),IF($P192="TRUE",ABS('Per Diem Calc Tool'!$S192),""))</f>
      </c>
      <c r="Z192" s="170">
        <f>IF(AND(N192=0.75,($Q192="TRUE")),ABS('Per Diem Calc Tool'!$T192*0.75),IF($Q192="TRUE",ABS('Per Diem Calc Tool'!$T192),""))</f>
      </c>
    </row>
    <row r="193" spans="12:26" ht="13.5">
      <c r="L193" s="188">
        <v>58</v>
      </c>
      <c r="M193" s="169" t="b">
        <f>+L193&lt;=$O$7</f>
        <v>0</v>
      </c>
      <c r="N193" s="235">
        <f>IF(L193=$O$7,0.75,1)</f>
        <v>1</v>
      </c>
      <c r="O193" s="236" t="str">
        <f>IF(B77="X","TRUE","FALSE")</f>
        <v>FALSE</v>
      </c>
      <c r="P193" s="236" t="str">
        <f>IF(C77="X","TRUE","FALSE")</f>
        <v>FALSE</v>
      </c>
      <c r="Q193" s="236" t="str">
        <f>IF(D77="X","TRUE","FALSE")</f>
        <v>FALSE</v>
      </c>
      <c r="R193" s="237">
        <f t="shared" si="9"/>
        <v>0</v>
      </c>
      <c r="S193" s="237">
        <f t="shared" si="10"/>
        <v>0</v>
      </c>
      <c r="T193" s="237">
        <f t="shared" si="11"/>
        <v>0</v>
      </c>
      <c r="U193" s="238" t="e">
        <f>(VLOOKUP($P$9,Per_diem_table,1)*N193)-SUM((X193,Y193,Z193))</f>
        <v>#REF!</v>
      </c>
      <c r="V193" s="237" t="e">
        <f>IF(U193&lt;5,5,U193)</f>
        <v>#REF!</v>
      </c>
      <c r="X193" s="170">
        <f>IF(AND(N193=0.75,($O193="TRUE")),ABS('Per Diem Calc Tool'!$R193*0.75),IF($O193="TRUE",ABS('Per Diem Calc Tool'!$R193),""))</f>
      </c>
      <c r="Y193" s="170">
        <f>IF(AND(N193=0.75,($P193="TRUE")),ABS('Per Diem Calc Tool'!$S193*0.75),IF($P193="TRUE",ABS('Per Diem Calc Tool'!$S193),""))</f>
      </c>
      <c r="Z193" s="170">
        <f>IF(AND(N193=0.75,($Q193="TRUE")),ABS('Per Diem Calc Tool'!$T193*0.75),IF($Q193="TRUE",ABS('Per Diem Calc Tool'!$T193),""))</f>
      </c>
    </row>
    <row r="194" spans="12:26" ht="13.5">
      <c r="L194" s="188"/>
      <c r="N194" s="235"/>
      <c r="O194" s="236"/>
      <c r="P194" s="236"/>
      <c r="Q194" s="236"/>
      <c r="R194" s="237">
        <f t="shared" si="9"/>
        <v>0</v>
      </c>
      <c r="S194" s="237">
        <f t="shared" si="10"/>
        <v>0</v>
      </c>
      <c r="T194" s="237">
        <f t="shared" si="11"/>
        <v>0</v>
      </c>
      <c r="U194" s="238" t="e">
        <f>(VLOOKUP($P$9,Per_diem_table,1)*N194)-SUM((X194,Y194,Z194))</f>
        <v>#REF!</v>
      </c>
      <c r="V194" s="237"/>
      <c r="X194" s="170">
        <f>IF(AND(N194=0.75,($O194="TRUE")),ABS('Per Diem Calc Tool'!$R194*0.75),IF($O194="TRUE",ABS('Per Diem Calc Tool'!$R194),""))</f>
      </c>
      <c r="Y194" s="170">
        <f>IF(AND(N194=0.75,($P194="TRUE")),ABS('Per Diem Calc Tool'!$S194*0.75),IF($P194="TRUE",ABS('Per Diem Calc Tool'!$S194),""))</f>
      </c>
      <c r="Z194" s="170">
        <f>IF(AND(N194=0.75,($Q194="TRUE")),ABS('Per Diem Calc Tool'!$T194*0.75),IF($Q194="TRUE",ABS('Per Diem Calc Tool'!$T194),""))</f>
      </c>
    </row>
    <row r="195" spans="12:26" ht="13.5">
      <c r="L195" s="188"/>
      <c r="N195" s="235"/>
      <c r="O195" s="236"/>
      <c r="P195" s="236"/>
      <c r="Q195" s="236"/>
      <c r="R195" s="237">
        <f t="shared" si="9"/>
        <v>0</v>
      </c>
      <c r="S195" s="237">
        <f t="shared" si="10"/>
        <v>0</v>
      </c>
      <c r="T195" s="237">
        <f t="shared" si="11"/>
        <v>0</v>
      </c>
      <c r="U195" s="238" t="e">
        <f>(VLOOKUP($P$9,Per_diem_table,1)*N195)-SUM((X195,Y195,Z195))</f>
        <v>#REF!</v>
      </c>
      <c r="V195" s="237"/>
      <c r="X195" s="170">
        <f>IF(AND(N195=0.75,($O195="TRUE")),ABS('Per Diem Calc Tool'!$R195*0.75),IF($O195="TRUE",ABS('Per Diem Calc Tool'!$R195),""))</f>
      </c>
      <c r="Y195" s="170">
        <f>IF(AND(N195=0.75,($P195="TRUE")),ABS('Per Diem Calc Tool'!$S195*0.75),IF($P195="TRUE",ABS('Per Diem Calc Tool'!$S195),""))</f>
      </c>
      <c r="Z195" s="170">
        <f>IF(AND(N195=0.75,($Q195="TRUE")),ABS('Per Diem Calc Tool'!$T195*0.75),IF($Q195="TRUE",ABS('Per Diem Calc Tool'!$T195),""))</f>
      </c>
    </row>
    <row r="196" spans="12:26" ht="13.5">
      <c r="L196" s="188">
        <v>59</v>
      </c>
      <c r="M196" s="169" t="b">
        <f>+L196&lt;=$O$7</f>
        <v>0</v>
      </c>
      <c r="N196" s="235">
        <f>IF(L196=$O$7,0.75,1)</f>
        <v>1</v>
      </c>
      <c r="O196" s="236" t="str">
        <f>IF(B78="X","TRUE","FALSE")</f>
        <v>FALSE</v>
      </c>
      <c r="P196" s="236" t="str">
        <f>IF(C78="X","TRUE","FALSE")</f>
        <v>FALSE</v>
      </c>
      <c r="Q196" s="236" t="str">
        <f>IF(D78="X","TRUE","FALSE")</f>
        <v>FALSE</v>
      </c>
      <c r="R196" s="237">
        <f t="shared" si="9"/>
        <v>0</v>
      </c>
      <c r="S196" s="237">
        <f t="shared" si="10"/>
        <v>0</v>
      </c>
      <c r="T196" s="237">
        <f t="shared" si="11"/>
        <v>0</v>
      </c>
      <c r="U196" s="238" t="e">
        <f>(VLOOKUP($P$9,Per_diem_table,1)*N196)-SUM((X196,Y196,Z196))</f>
        <v>#REF!</v>
      </c>
      <c r="V196" s="237" t="e">
        <f>IF(U196&lt;5,5,U196)</f>
        <v>#REF!</v>
      </c>
      <c r="X196" s="170">
        <f>IF(AND(N196=0.75,($O196="TRUE")),ABS('Per Diem Calc Tool'!$R196*0.75),IF($O196="TRUE",ABS('Per Diem Calc Tool'!$R196),""))</f>
      </c>
      <c r="Y196" s="170">
        <f>IF(AND(N196=0.75,($P196="TRUE")),ABS('Per Diem Calc Tool'!$S196*0.75),IF($P196="TRUE",ABS('Per Diem Calc Tool'!$S196),""))</f>
      </c>
      <c r="Z196" s="170">
        <f>IF(AND(N196=0.75,($Q196="TRUE")),ABS('Per Diem Calc Tool'!$T196*0.75),IF($Q196="TRUE",ABS('Per Diem Calc Tool'!$T196),""))</f>
      </c>
    </row>
    <row r="197" spans="12:26" ht="13.5">
      <c r="L197" s="188"/>
      <c r="N197" s="235"/>
      <c r="O197" s="236"/>
      <c r="P197" s="236"/>
      <c r="Q197" s="236"/>
      <c r="R197" s="237">
        <f t="shared" si="9"/>
        <v>0</v>
      </c>
      <c r="S197" s="237">
        <f t="shared" si="10"/>
        <v>0</v>
      </c>
      <c r="T197" s="237">
        <f t="shared" si="11"/>
        <v>0</v>
      </c>
      <c r="U197" s="238" t="e">
        <f>(VLOOKUP($P$9,Per_diem_table,1)*N197)-SUM((X197,Y197,Z197))</f>
        <v>#REF!</v>
      </c>
      <c r="V197" s="237"/>
      <c r="X197" s="170">
        <f>IF(AND(N197=0.75,($O197="TRUE")),ABS('Per Diem Calc Tool'!$R197*0.75),IF($O197="TRUE",ABS('Per Diem Calc Tool'!$R197),""))</f>
      </c>
      <c r="Y197" s="170">
        <f>IF(AND(N197=0.75,($P197="TRUE")),ABS('Per Diem Calc Tool'!$S197*0.75),IF($P197="TRUE",ABS('Per Diem Calc Tool'!$S197),""))</f>
      </c>
      <c r="Z197" s="170">
        <f>IF(AND(N197=0.75,($Q197="TRUE")),ABS('Per Diem Calc Tool'!$T197*0.75),IF($Q197="TRUE",ABS('Per Diem Calc Tool'!$T197),""))</f>
      </c>
    </row>
    <row r="198" spans="12:26" ht="13.5">
      <c r="L198" s="188"/>
      <c r="N198" s="235"/>
      <c r="O198" s="236"/>
      <c r="P198" s="236"/>
      <c r="Q198" s="236"/>
      <c r="R198" s="237">
        <f t="shared" si="9"/>
        <v>0</v>
      </c>
      <c r="S198" s="237">
        <f t="shared" si="10"/>
        <v>0</v>
      </c>
      <c r="T198" s="237">
        <f t="shared" si="11"/>
        <v>0</v>
      </c>
      <c r="U198" s="238" t="e">
        <f>(VLOOKUP($P$9,Per_diem_table,1)*N198)-SUM((X198,Y198,Z198))</f>
        <v>#REF!</v>
      </c>
      <c r="V198" s="237"/>
      <c r="X198" s="170">
        <f>IF(AND(N198=0.75,($O198="TRUE")),ABS('Per Diem Calc Tool'!$R198*0.75),IF($O198="TRUE",ABS('Per Diem Calc Tool'!$R198),""))</f>
      </c>
      <c r="Y198" s="170">
        <f>IF(AND(N198=0.75,($P198="TRUE")),ABS('Per Diem Calc Tool'!$S198*0.75),IF($P198="TRUE",ABS('Per Diem Calc Tool'!$S198),""))</f>
      </c>
      <c r="Z198" s="170">
        <f>IF(AND(N198=0.75,($Q198="TRUE")),ABS('Per Diem Calc Tool'!$T198*0.75),IF($Q198="TRUE",ABS('Per Diem Calc Tool'!$T198),""))</f>
      </c>
    </row>
    <row r="199" spans="12:26" ht="13.5">
      <c r="L199" s="188">
        <v>60</v>
      </c>
      <c r="M199" s="169" t="b">
        <f>+L199&lt;=$O$7</f>
        <v>0</v>
      </c>
      <c r="N199" s="235">
        <f>IF(L199=$O$7,0.75,1)</f>
        <v>1</v>
      </c>
      <c r="O199" s="236" t="str">
        <f>IF(B79="X","TRUE","FALSE")</f>
        <v>FALSE</v>
      </c>
      <c r="P199" s="236" t="str">
        <f>IF(C79="X","TRUE","FALSE")</f>
        <v>FALSE</v>
      </c>
      <c r="Q199" s="236" t="str">
        <f>IF(D79="X","TRUE","FALSE")</f>
        <v>FALSE</v>
      </c>
      <c r="R199" s="237">
        <f t="shared" si="9"/>
        <v>0</v>
      </c>
      <c r="S199" s="237">
        <f t="shared" si="10"/>
        <v>0</v>
      </c>
      <c r="T199" s="237">
        <f t="shared" si="11"/>
        <v>0</v>
      </c>
      <c r="U199" s="238" t="e">
        <f>(VLOOKUP($P$9,Per_diem_table,1)*N199)-SUM((X199,Y199,Z199))</f>
        <v>#REF!</v>
      </c>
      <c r="V199" s="237" t="e">
        <f>IF(U199&lt;5,5,U199)</f>
        <v>#REF!</v>
      </c>
      <c r="X199" s="170">
        <f>IF(AND(N199=0.75,($O199="TRUE")),ABS('Per Diem Calc Tool'!$R199*0.75),IF($O199="TRUE",ABS('Per Diem Calc Tool'!$R199),""))</f>
      </c>
      <c r="Y199" s="170">
        <f>IF(AND(N199=0.75,($P199="TRUE")),ABS('Per Diem Calc Tool'!$S199*0.75),IF($P199="TRUE",ABS('Per Diem Calc Tool'!$S199),""))</f>
      </c>
      <c r="Z199" s="170">
        <f>IF(AND(N199=0.75,($Q199="TRUE")),ABS('Per Diem Calc Tool'!$T199*0.75),IF($Q199="TRUE",ABS('Per Diem Calc Tool'!$T199),""))</f>
      </c>
    </row>
    <row r="200" spans="12:26" ht="13.5">
      <c r="L200" s="188"/>
      <c r="N200" s="235"/>
      <c r="O200" s="236"/>
      <c r="P200" s="236"/>
      <c r="Q200" s="236"/>
      <c r="R200" s="237">
        <f t="shared" si="9"/>
        <v>0</v>
      </c>
      <c r="S200" s="237">
        <f t="shared" si="10"/>
        <v>0</v>
      </c>
      <c r="T200" s="237">
        <f t="shared" si="11"/>
        <v>0</v>
      </c>
      <c r="U200" s="238" t="e">
        <f>(VLOOKUP($P$9,Per_diem_table,1)*N200)-SUM((X200,Y200,Z200))</f>
        <v>#REF!</v>
      </c>
      <c r="V200" s="237"/>
      <c r="X200" s="170">
        <f>IF(AND(N200=0.75,($O200="TRUE")),ABS('Per Diem Calc Tool'!$R200*0.75),IF($O200="TRUE",ABS('Per Diem Calc Tool'!$R200),""))</f>
      </c>
      <c r="Y200" s="170">
        <f>IF(AND(N200=0.75,($P200="TRUE")),ABS('Per Diem Calc Tool'!$S200*0.75),IF($P200="TRUE",ABS('Per Diem Calc Tool'!$S200),""))</f>
      </c>
      <c r="Z200" s="170">
        <f>IF(AND(N200=0.75,($Q200="TRUE")),ABS('Per Diem Calc Tool'!$T200*0.75),IF($Q200="TRUE",ABS('Per Diem Calc Tool'!$T200),""))</f>
      </c>
    </row>
    <row r="201" spans="12:26" ht="13.5">
      <c r="L201" s="188"/>
      <c r="N201" s="235"/>
      <c r="O201" s="236"/>
      <c r="P201" s="236"/>
      <c r="Q201" s="236"/>
      <c r="R201" s="237">
        <f t="shared" si="9"/>
        <v>0</v>
      </c>
      <c r="S201" s="237">
        <f t="shared" si="10"/>
        <v>0</v>
      </c>
      <c r="T201" s="237">
        <f t="shared" si="11"/>
        <v>0</v>
      </c>
      <c r="U201" s="238" t="e">
        <f>(VLOOKUP($P$9,Per_diem_table,1)*N201)-SUM((X201,Y201,Z201))</f>
        <v>#REF!</v>
      </c>
      <c r="V201" s="237"/>
      <c r="X201" s="170">
        <f>IF(AND(N201=0.75,($O201="TRUE")),ABS('Per Diem Calc Tool'!$R201*0.75),IF($O201="TRUE",ABS('Per Diem Calc Tool'!$R201),""))</f>
      </c>
      <c r="Y201" s="170">
        <f>IF(AND(N201=0.75,($P201="TRUE")),ABS('Per Diem Calc Tool'!$S201*0.75),IF($P201="TRUE",ABS('Per Diem Calc Tool'!$S201),""))</f>
      </c>
      <c r="Z201" s="170">
        <f>IF(AND(N201=0.75,($Q201="TRUE")),ABS('Per Diem Calc Tool'!$T201*0.75),IF($Q201="TRUE",ABS('Per Diem Calc Tool'!$T201),""))</f>
      </c>
    </row>
    <row r="202" spans="12:26" ht="13.5">
      <c r="L202" s="188">
        <v>61</v>
      </c>
      <c r="M202" s="169" t="b">
        <f>+L202&lt;=$O$7</f>
        <v>0</v>
      </c>
      <c r="N202" s="235">
        <f>IF(L202=$O$7,0.75,1)</f>
        <v>1</v>
      </c>
      <c r="O202" s="236" t="str">
        <f>IF(B80="X","TRUE","FALSE")</f>
        <v>FALSE</v>
      </c>
      <c r="P202" s="236" t="str">
        <f>IF(C80="X","TRUE","FALSE")</f>
        <v>FALSE</v>
      </c>
      <c r="Q202" s="236" t="str">
        <f>IF(D80="X","TRUE","FALSE")</f>
        <v>FALSE</v>
      </c>
      <c r="R202" s="237">
        <f t="shared" si="9"/>
        <v>0</v>
      </c>
      <c r="S202" s="237">
        <f t="shared" si="10"/>
        <v>0</v>
      </c>
      <c r="T202" s="237">
        <f t="shared" si="11"/>
        <v>0</v>
      </c>
      <c r="U202" s="238" t="e">
        <f>(VLOOKUP($P$9,Per_diem_table,1)*N202)-SUM((X202,Y202,Z202))</f>
        <v>#REF!</v>
      </c>
      <c r="V202" s="237" t="e">
        <f>IF(U202&lt;5,5,U202)</f>
        <v>#REF!</v>
      </c>
      <c r="X202" s="170">
        <f>IF(AND(N202=0.75,($O202="TRUE")),ABS('Per Diem Calc Tool'!$R202*0.75),IF($O202="TRUE",ABS('Per Diem Calc Tool'!$R202),""))</f>
      </c>
      <c r="Y202" s="170">
        <f>IF(AND(N202=0.75,($P202="TRUE")),ABS('Per Diem Calc Tool'!$S202*0.75),IF($P202="TRUE",ABS('Per Diem Calc Tool'!$S202),""))</f>
      </c>
      <c r="Z202" s="170">
        <f>IF(AND(N202=0.75,($Q202="TRUE")),ABS('Per Diem Calc Tool'!$T202*0.75),IF($Q202="TRUE",ABS('Per Diem Calc Tool'!$T202),""))</f>
      </c>
    </row>
    <row r="203" spans="12:26" ht="13.5">
      <c r="L203" s="188"/>
      <c r="N203" s="235"/>
      <c r="O203" s="236"/>
      <c r="P203" s="236"/>
      <c r="Q203" s="236"/>
      <c r="R203" s="237">
        <f t="shared" si="9"/>
        <v>0</v>
      </c>
      <c r="S203" s="237">
        <f t="shared" si="10"/>
        <v>0</v>
      </c>
      <c r="T203" s="237">
        <f t="shared" si="11"/>
        <v>0</v>
      </c>
      <c r="U203" s="238" t="e">
        <f>(VLOOKUP($P$9,Per_diem_table,1)*N203)-SUM((X203,Y203,Z203))</f>
        <v>#REF!</v>
      </c>
      <c r="V203" s="237"/>
      <c r="X203" s="170">
        <f>IF(AND(N203=0.75,($O203="TRUE")),ABS('Per Diem Calc Tool'!$R203*0.75),IF($O203="TRUE",ABS('Per Diem Calc Tool'!$R203),""))</f>
      </c>
      <c r="Y203" s="170">
        <f>IF(AND(N203=0.75,($P203="TRUE")),ABS('Per Diem Calc Tool'!$S203*0.75),IF($P203="TRUE",ABS('Per Diem Calc Tool'!$S203),""))</f>
      </c>
      <c r="Z203" s="170">
        <f>IF(AND(N203=0.75,($Q203="TRUE")),ABS('Per Diem Calc Tool'!$T203*0.75),IF($Q203="TRUE",ABS('Per Diem Calc Tool'!$T203),""))</f>
      </c>
    </row>
    <row r="204" spans="12:26" ht="13.5">
      <c r="L204" s="188"/>
      <c r="N204" s="235"/>
      <c r="O204" s="236"/>
      <c r="P204" s="236"/>
      <c r="Q204" s="236"/>
      <c r="R204" s="237">
        <f t="shared" si="9"/>
        <v>0</v>
      </c>
      <c r="S204" s="237">
        <f t="shared" si="10"/>
        <v>0</v>
      </c>
      <c r="T204" s="237">
        <f t="shared" si="11"/>
        <v>0</v>
      </c>
      <c r="U204" s="238" t="e">
        <f>(VLOOKUP($P$9,Per_diem_table,1)*N204)-SUM((X204,Y204,Z204))</f>
        <v>#REF!</v>
      </c>
      <c r="V204" s="237"/>
      <c r="X204" s="170">
        <f>IF(AND(N204=0.75,($O204="TRUE")),ABS('Per Diem Calc Tool'!$R204*0.75),IF($O204="TRUE",ABS('Per Diem Calc Tool'!$R204),""))</f>
      </c>
      <c r="Y204" s="170">
        <f>IF(AND(N204=0.75,($P204="TRUE")),ABS('Per Diem Calc Tool'!$S204*0.75),IF($P204="TRUE",ABS('Per Diem Calc Tool'!$S204),""))</f>
      </c>
      <c r="Z204" s="170">
        <f>IF(AND(N204=0.75,($Q204="TRUE")),ABS('Per Diem Calc Tool'!$T204*0.75),IF($Q204="TRUE",ABS('Per Diem Calc Tool'!$T204),""))</f>
      </c>
    </row>
    <row r="205" spans="12:26" ht="13.5">
      <c r="L205" s="188">
        <v>62</v>
      </c>
      <c r="M205" s="169" t="b">
        <f>+L205&lt;=$O$7</f>
        <v>0</v>
      </c>
      <c r="N205" s="235">
        <f>IF(L205=$O$7,0.75,1)</f>
        <v>1</v>
      </c>
      <c r="O205" s="236" t="str">
        <f>IF(B81="X","TRUE","FALSE")</f>
        <v>FALSE</v>
      </c>
      <c r="P205" s="236" t="str">
        <f>IF(C81="X","TRUE","FALSE")</f>
        <v>FALSE</v>
      </c>
      <c r="Q205" s="236" t="str">
        <f>IF(D81="X","TRUE","FALSE")</f>
        <v>FALSE</v>
      </c>
      <c r="R205" s="237">
        <f t="shared" si="9"/>
        <v>0</v>
      </c>
      <c r="S205" s="237">
        <f t="shared" si="10"/>
        <v>0</v>
      </c>
      <c r="T205" s="237">
        <f t="shared" si="11"/>
        <v>0</v>
      </c>
      <c r="U205" s="238" t="e">
        <f>(VLOOKUP($P$9,Per_diem_table,1)*N205)-SUM((X205,Y205,Z205))</f>
        <v>#REF!</v>
      </c>
      <c r="V205" s="237" t="e">
        <f>IF(U205&lt;5,5,U205)</f>
        <v>#REF!</v>
      </c>
      <c r="X205" s="170">
        <f>IF(AND(N205=0.75,($O205="TRUE")),ABS('Per Diem Calc Tool'!$R205*0.75),IF($O205="TRUE",ABS('Per Diem Calc Tool'!$R205),""))</f>
      </c>
      <c r="Y205" s="170">
        <f>IF(AND(N205=0.75,($P205="TRUE")),ABS('Per Diem Calc Tool'!$S205*0.75),IF($P205="TRUE",ABS('Per Diem Calc Tool'!$S205),""))</f>
      </c>
      <c r="Z205" s="170">
        <f>IF(AND(N205=0.75,($Q205="TRUE")),ABS('Per Diem Calc Tool'!$T205*0.75),IF($Q205="TRUE",ABS('Per Diem Calc Tool'!$T205),""))</f>
      </c>
    </row>
    <row r="206" spans="12:26" ht="13.5">
      <c r="L206" s="188"/>
      <c r="N206" s="235"/>
      <c r="O206" s="236"/>
      <c r="P206" s="236"/>
      <c r="Q206" s="236"/>
      <c r="R206" s="237">
        <f t="shared" si="9"/>
        <v>0</v>
      </c>
      <c r="S206" s="237">
        <f t="shared" si="10"/>
        <v>0</v>
      </c>
      <c r="T206" s="237">
        <f t="shared" si="11"/>
        <v>0</v>
      </c>
      <c r="U206" s="238" t="e">
        <f>(VLOOKUP($P$9,Per_diem_table,1)*N206)-SUM((X206,Y206,Z206))</f>
        <v>#REF!</v>
      </c>
      <c r="V206" s="237"/>
      <c r="X206" s="170">
        <f>IF(AND(N206=0.75,($O206="TRUE")),ABS('Per Diem Calc Tool'!$R206*0.75),IF($O206="TRUE",ABS('Per Diem Calc Tool'!$R206),""))</f>
      </c>
      <c r="Y206" s="170">
        <f>IF(AND(N206=0.75,($P206="TRUE")),ABS('Per Diem Calc Tool'!$S206*0.75),IF($P206="TRUE",ABS('Per Diem Calc Tool'!$S206),""))</f>
      </c>
      <c r="Z206" s="170">
        <f>IF(AND(N206=0.75,($Q206="TRUE")),ABS('Per Diem Calc Tool'!$T206*0.75),IF($Q206="TRUE",ABS('Per Diem Calc Tool'!$T206),""))</f>
      </c>
    </row>
    <row r="207" spans="12:26" ht="13.5">
      <c r="L207" s="188"/>
      <c r="N207" s="235"/>
      <c r="O207" s="236"/>
      <c r="P207" s="236"/>
      <c r="Q207" s="236"/>
      <c r="R207" s="237">
        <f t="shared" si="9"/>
        <v>0</v>
      </c>
      <c r="S207" s="237">
        <f t="shared" si="10"/>
        <v>0</v>
      </c>
      <c r="T207" s="237">
        <f t="shared" si="11"/>
        <v>0</v>
      </c>
      <c r="U207" s="238" t="e">
        <f>(VLOOKUP($P$9,Per_diem_table,1)*N207)-SUM((X207,Y207,Z207))</f>
        <v>#REF!</v>
      </c>
      <c r="V207" s="237"/>
      <c r="X207" s="170">
        <f>IF(AND(N207=0.75,($O207="TRUE")),ABS('Per Diem Calc Tool'!$R207*0.75),IF($O207="TRUE",ABS('Per Diem Calc Tool'!$R207),""))</f>
      </c>
      <c r="Y207" s="170">
        <f>IF(AND(N207=0.75,($P207="TRUE")),ABS('Per Diem Calc Tool'!$S207*0.75),IF($P207="TRUE",ABS('Per Diem Calc Tool'!$S207),""))</f>
      </c>
      <c r="Z207" s="170">
        <f>IF(AND(N207=0.75,($Q207="TRUE")),ABS('Per Diem Calc Tool'!$T207*0.75),IF($Q207="TRUE",ABS('Per Diem Calc Tool'!$T207),""))</f>
      </c>
    </row>
    <row r="208" spans="12:26" ht="13.5">
      <c r="L208" s="188">
        <v>63</v>
      </c>
      <c r="M208" s="169" t="b">
        <f>+L208&lt;=$O$7</f>
        <v>0</v>
      </c>
      <c r="N208" s="235">
        <f>IF(L208=$O$7,0.75,1)</f>
        <v>1</v>
      </c>
      <c r="O208" s="236" t="str">
        <f>IF(B82="X","TRUE","FALSE")</f>
        <v>FALSE</v>
      </c>
      <c r="P208" s="236" t="str">
        <f>IF(C82="X","TRUE","FALSE")</f>
        <v>FALSE</v>
      </c>
      <c r="Q208" s="236" t="str">
        <f>IF(D82="X","TRUE","FALSE")</f>
        <v>FALSE</v>
      </c>
      <c r="R208" s="237">
        <f t="shared" si="9"/>
        <v>0</v>
      </c>
      <c r="S208" s="237">
        <f t="shared" si="10"/>
        <v>0</v>
      </c>
      <c r="T208" s="237">
        <f t="shared" si="11"/>
        <v>0</v>
      </c>
      <c r="U208" s="238" t="e">
        <f>(VLOOKUP($P$9,Per_diem_table,1)*N208)-SUM((X208,Y208,Z208))</f>
        <v>#REF!</v>
      </c>
      <c r="V208" s="237" t="e">
        <f>IF(U208&lt;5,5,U208)</f>
        <v>#REF!</v>
      </c>
      <c r="X208" s="170">
        <f>IF(AND(N208=0.75,($O208="TRUE")),ABS('Per Diem Calc Tool'!$R208*0.75),IF($O208="TRUE",ABS('Per Diem Calc Tool'!$R208),""))</f>
      </c>
      <c r="Y208" s="170">
        <f>IF(AND(N208=0.75,($P208="TRUE")),ABS('Per Diem Calc Tool'!$S208*0.75),IF($P208="TRUE",ABS('Per Diem Calc Tool'!$S208),""))</f>
      </c>
      <c r="Z208" s="170">
        <f>IF(AND(N208=0.75,($Q208="TRUE")),ABS('Per Diem Calc Tool'!$T208*0.75),IF($Q208="TRUE",ABS('Per Diem Calc Tool'!$T208),""))</f>
      </c>
    </row>
    <row r="209" spans="12:26" ht="13.5">
      <c r="L209" s="188"/>
      <c r="N209" s="235"/>
      <c r="O209" s="236"/>
      <c r="P209" s="236"/>
      <c r="Q209" s="236"/>
      <c r="R209" s="237">
        <f t="shared" si="9"/>
        <v>0</v>
      </c>
      <c r="S209" s="237">
        <f t="shared" si="10"/>
        <v>0</v>
      </c>
      <c r="T209" s="237">
        <f t="shared" si="11"/>
        <v>0</v>
      </c>
      <c r="U209" s="238" t="e">
        <f>(VLOOKUP($P$9,Per_diem_table,1)*N209)-SUM((X209,Y209,Z209))</f>
        <v>#REF!</v>
      </c>
      <c r="V209" s="237"/>
      <c r="X209" s="170">
        <f>IF(AND(N209=0.75,($O209="TRUE")),ABS('Per Diem Calc Tool'!$R209*0.75),IF($O209="TRUE",ABS('Per Diem Calc Tool'!$R209),""))</f>
      </c>
      <c r="Y209" s="170">
        <f>IF(AND(N209=0.75,($P209="TRUE")),ABS('Per Diem Calc Tool'!$S209*0.75),IF($P209="TRUE",ABS('Per Diem Calc Tool'!$S209),""))</f>
      </c>
      <c r="Z209" s="170">
        <f>IF(AND(N209=0.75,($Q209="TRUE")),ABS('Per Diem Calc Tool'!$T209*0.75),IF($Q209="TRUE",ABS('Per Diem Calc Tool'!$T209),""))</f>
      </c>
    </row>
    <row r="210" spans="12:26" ht="13.5">
      <c r="L210" s="188"/>
      <c r="N210" s="235"/>
      <c r="O210" s="236"/>
      <c r="P210" s="236"/>
      <c r="Q210" s="236"/>
      <c r="R210" s="237">
        <f t="shared" si="9"/>
        <v>0</v>
      </c>
      <c r="S210" s="237">
        <f t="shared" si="10"/>
        <v>0</v>
      </c>
      <c r="T210" s="237">
        <f t="shared" si="11"/>
        <v>0</v>
      </c>
      <c r="U210" s="238" t="e">
        <f>(VLOOKUP($P$9,Per_diem_table,1)*N210)-SUM((X210,Y210,Z210))</f>
        <v>#REF!</v>
      </c>
      <c r="V210" s="237"/>
      <c r="X210" s="170">
        <f>IF(AND(N210=0.75,($O210="TRUE")),ABS('Per Diem Calc Tool'!$R210*0.75),IF($O210="TRUE",ABS('Per Diem Calc Tool'!$R210),""))</f>
      </c>
      <c r="Y210" s="170">
        <f>IF(AND(N210=0.75,($P210="TRUE")),ABS('Per Diem Calc Tool'!$S210*0.75),IF($P210="TRUE",ABS('Per Diem Calc Tool'!$S210),""))</f>
      </c>
      <c r="Z210" s="170">
        <f>IF(AND(N210=0.75,($Q210="TRUE")),ABS('Per Diem Calc Tool'!$T210*0.75),IF($Q210="TRUE",ABS('Per Diem Calc Tool'!$T210),""))</f>
      </c>
    </row>
    <row r="211" spans="12:26" ht="13.5">
      <c r="L211" s="188">
        <v>64</v>
      </c>
      <c r="M211" s="169" t="b">
        <f>+L211&lt;=$O$7</f>
        <v>0</v>
      </c>
      <c r="N211" s="235">
        <f>IF(L211=$O$7,0.75,1)</f>
        <v>1</v>
      </c>
      <c r="O211" s="236" t="str">
        <f>IF(B83="X","TRUE","FALSE")</f>
        <v>FALSE</v>
      </c>
      <c r="P211" s="236" t="str">
        <f>IF(C83="X","TRUE","FALSE")</f>
        <v>FALSE</v>
      </c>
      <c r="Q211" s="236" t="str">
        <f>IF(D83="X","TRUE","FALSE")</f>
        <v>FALSE</v>
      </c>
      <c r="R211" s="237">
        <f aca="true" t="shared" si="12" ref="R211:R274">IF(O211="TRUE",-VLOOKUP($P$9,Per_diem_table,2),0)</f>
        <v>0</v>
      </c>
      <c r="S211" s="237">
        <f aca="true" t="shared" si="13" ref="S211:S274">IF(P211="TRUE",-VLOOKUP($P$9,Per_diem_table,3),0)</f>
        <v>0</v>
      </c>
      <c r="T211" s="237">
        <f aca="true" t="shared" si="14" ref="T211:T274">IF(Q211="TRUE",-VLOOKUP($P$9,Per_diem_table,4),0)</f>
        <v>0</v>
      </c>
      <c r="U211" s="238" t="e">
        <f>(VLOOKUP($P$9,Per_diem_table,1)*N211)-SUM((X211,Y211,Z211))</f>
        <v>#REF!</v>
      </c>
      <c r="V211" s="237" t="e">
        <f>IF(U211&lt;5,5,U211)</f>
        <v>#REF!</v>
      </c>
      <c r="X211" s="170">
        <f>IF(AND(N211=0.75,($O211="TRUE")),ABS('Per Diem Calc Tool'!$R211*0.75),IF($O211="TRUE",ABS('Per Diem Calc Tool'!$R211),""))</f>
      </c>
      <c r="Y211" s="170">
        <f>IF(AND(N211=0.75,($P211="TRUE")),ABS('Per Diem Calc Tool'!$S211*0.75),IF($P211="TRUE",ABS('Per Diem Calc Tool'!$S211),""))</f>
      </c>
      <c r="Z211" s="170">
        <f>IF(AND(N211=0.75,($Q211="TRUE")),ABS('Per Diem Calc Tool'!$T211*0.75),IF($Q211="TRUE",ABS('Per Diem Calc Tool'!$T211),""))</f>
      </c>
    </row>
    <row r="212" spans="12:26" ht="13.5">
      <c r="L212" s="188"/>
      <c r="N212" s="235"/>
      <c r="O212" s="236"/>
      <c r="P212" s="236"/>
      <c r="Q212" s="236"/>
      <c r="R212" s="237">
        <f t="shared" si="12"/>
        <v>0</v>
      </c>
      <c r="S212" s="237">
        <f t="shared" si="13"/>
        <v>0</v>
      </c>
      <c r="T212" s="237">
        <f t="shared" si="14"/>
        <v>0</v>
      </c>
      <c r="U212" s="238" t="e">
        <f>(VLOOKUP($P$9,Per_diem_table,1)*N212)-SUM((X212,Y212,Z212))</f>
        <v>#REF!</v>
      </c>
      <c r="V212" s="237"/>
      <c r="X212" s="170">
        <f>IF(AND(N212=0.75,($O212="TRUE")),ABS('Per Diem Calc Tool'!$R212*0.75),IF($O212="TRUE",ABS('Per Diem Calc Tool'!$R212),""))</f>
      </c>
      <c r="Y212" s="170">
        <f>IF(AND(N212=0.75,($P212="TRUE")),ABS('Per Diem Calc Tool'!$S212*0.75),IF($P212="TRUE",ABS('Per Diem Calc Tool'!$S212),""))</f>
      </c>
      <c r="Z212" s="170">
        <f>IF(AND(N212=0.75,($Q212="TRUE")),ABS('Per Diem Calc Tool'!$T212*0.75),IF($Q212="TRUE",ABS('Per Diem Calc Tool'!$T212),""))</f>
      </c>
    </row>
    <row r="213" spans="12:26" ht="13.5">
      <c r="L213" s="188"/>
      <c r="N213" s="235"/>
      <c r="O213" s="236"/>
      <c r="P213" s="236"/>
      <c r="Q213" s="236"/>
      <c r="R213" s="237">
        <f t="shared" si="12"/>
        <v>0</v>
      </c>
      <c r="S213" s="237">
        <f t="shared" si="13"/>
        <v>0</v>
      </c>
      <c r="T213" s="237">
        <f t="shared" si="14"/>
        <v>0</v>
      </c>
      <c r="U213" s="238" t="e">
        <f>(VLOOKUP($P$9,Per_diem_table,1)*N213)-SUM((X213,Y213,Z213))</f>
        <v>#REF!</v>
      </c>
      <c r="V213" s="237"/>
      <c r="X213" s="170">
        <f>IF(AND(N213=0.75,($O213="TRUE")),ABS('Per Diem Calc Tool'!$R213*0.75),IF($O213="TRUE",ABS('Per Diem Calc Tool'!$R213),""))</f>
      </c>
      <c r="Y213" s="170">
        <f>IF(AND(N213=0.75,($P213="TRUE")),ABS('Per Diem Calc Tool'!$S213*0.75),IF($P213="TRUE",ABS('Per Diem Calc Tool'!$S213),""))</f>
      </c>
      <c r="Z213" s="170">
        <f>IF(AND(N213=0.75,($Q213="TRUE")),ABS('Per Diem Calc Tool'!$T213*0.75),IF($Q213="TRUE",ABS('Per Diem Calc Tool'!$T213),""))</f>
      </c>
    </row>
    <row r="214" spans="12:26" ht="13.5">
      <c r="L214" s="188">
        <v>65</v>
      </c>
      <c r="M214" s="169" t="b">
        <f>+L214&lt;=$O$7</f>
        <v>0</v>
      </c>
      <c r="N214" s="235">
        <f>IF(L214=$O$7,0.75,1)</f>
        <v>1</v>
      </c>
      <c r="O214" s="236" t="str">
        <f>IF(B84="X","TRUE","FALSE")</f>
        <v>FALSE</v>
      </c>
      <c r="P214" s="236" t="str">
        <f>IF(C84="X","TRUE","FALSE")</f>
        <v>FALSE</v>
      </c>
      <c r="Q214" s="236" t="str">
        <f>IF(D84="X","TRUE","FALSE")</f>
        <v>FALSE</v>
      </c>
      <c r="R214" s="237">
        <f t="shared" si="12"/>
        <v>0</v>
      </c>
      <c r="S214" s="237">
        <f t="shared" si="13"/>
        <v>0</v>
      </c>
      <c r="T214" s="237">
        <f t="shared" si="14"/>
        <v>0</v>
      </c>
      <c r="U214" s="238" t="e">
        <f>(VLOOKUP($P$9,Per_diem_table,1)*N214)-SUM((X214,Y214,Z214))</f>
        <v>#REF!</v>
      </c>
      <c r="V214" s="237" t="e">
        <f>IF(U214&lt;5,5,U214)</f>
        <v>#REF!</v>
      </c>
      <c r="X214" s="170">
        <f>IF(AND(N214=0.75,($O214="TRUE")),ABS('Per Diem Calc Tool'!$R214*0.75),IF($O214="TRUE",ABS('Per Diem Calc Tool'!$R214),""))</f>
      </c>
      <c r="Y214" s="170">
        <f>IF(AND(N214=0.75,($P214="TRUE")),ABS('Per Diem Calc Tool'!$S214*0.75),IF($P214="TRUE",ABS('Per Diem Calc Tool'!$S214),""))</f>
      </c>
      <c r="Z214" s="170">
        <f>IF(AND(N214=0.75,($Q214="TRUE")),ABS('Per Diem Calc Tool'!$T214*0.75),IF($Q214="TRUE",ABS('Per Diem Calc Tool'!$T214),""))</f>
      </c>
    </row>
    <row r="215" spans="12:26" ht="13.5">
      <c r="L215" s="188"/>
      <c r="N215" s="235"/>
      <c r="O215" s="236"/>
      <c r="P215" s="236"/>
      <c r="Q215" s="236"/>
      <c r="R215" s="237">
        <f t="shared" si="12"/>
        <v>0</v>
      </c>
      <c r="S215" s="237">
        <f t="shared" si="13"/>
        <v>0</v>
      </c>
      <c r="T215" s="237">
        <f t="shared" si="14"/>
        <v>0</v>
      </c>
      <c r="U215" s="238" t="e">
        <f>(VLOOKUP($P$9,Per_diem_table,1)*N215)-SUM((X215,Y215,Z215))</f>
        <v>#REF!</v>
      </c>
      <c r="V215" s="237"/>
      <c r="X215" s="170">
        <f>IF(AND(N215=0.75,($O215="TRUE")),ABS('Per Diem Calc Tool'!$R215*0.75),IF($O215="TRUE",ABS('Per Diem Calc Tool'!$R215),""))</f>
      </c>
      <c r="Y215" s="170">
        <f>IF(AND(N215=0.75,($P215="TRUE")),ABS('Per Diem Calc Tool'!$S215*0.75),IF($P215="TRUE",ABS('Per Diem Calc Tool'!$S215),""))</f>
      </c>
      <c r="Z215" s="170">
        <f>IF(AND(N215=0.75,($Q215="TRUE")),ABS('Per Diem Calc Tool'!$T215*0.75),IF($Q215="TRUE",ABS('Per Diem Calc Tool'!$T215),""))</f>
      </c>
    </row>
    <row r="216" spans="12:26" ht="13.5">
      <c r="L216" s="188"/>
      <c r="N216" s="235"/>
      <c r="O216" s="236"/>
      <c r="P216" s="236"/>
      <c r="Q216" s="236"/>
      <c r="R216" s="237">
        <f t="shared" si="12"/>
        <v>0</v>
      </c>
      <c r="S216" s="237">
        <f t="shared" si="13"/>
        <v>0</v>
      </c>
      <c r="T216" s="237">
        <f t="shared" si="14"/>
        <v>0</v>
      </c>
      <c r="U216" s="238" t="e">
        <f>(VLOOKUP($P$9,Per_diem_table,1)*N216)-SUM((X216,Y216,Z216))</f>
        <v>#REF!</v>
      </c>
      <c r="V216" s="237"/>
      <c r="X216" s="170">
        <f>IF(AND(N216=0.75,($O216="TRUE")),ABS('Per Diem Calc Tool'!$R216*0.75),IF($O216="TRUE",ABS('Per Diem Calc Tool'!$R216),""))</f>
      </c>
      <c r="Y216" s="170">
        <f>IF(AND(N216=0.75,($P216="TRUE")),ABS('Per Diem Calc Tool'!$S216*0.75),IF($P216="TRUE",ABS('Per Diem Calc Tool'!$S216),""))</f>
      </c>
      <c r="Z216" s="170">
        <f>IF(AND(N216=0.75,($Q216="TRUE")),ABS('Per Diem Calc Tool'!$T216*0.75),IF($Q216="TRUE",ABS('Per Diem Calc Tool'!$T216),""))</f>
      </c>
    </row>
    <row r="217" spans="12:26" ht="13.5">
      <c r="L217" s="188">
        <v>66</v>
      </c>
      <c r="M217" s="169" t="b">
        <f>+L217&lt;=$O$7</f>
        <v>0</v>
      </c>
      <c r="N217" s="235">
        <f>IF(L217=$O$7,0.75,1)</f>
        <v>1</v>
      </c>
      <c r="O217" s="236" t="str">
        <f>IF(B85="X","TRUE","FALSE")</f>
        <v>FALSE</v>
      </c>
      <c r="P217" s="236" t="str">
        <f>IF(C85="X","TRUE","FALSE")</f>
        <v>FALSE</v>
      </c>
      <c r="Q217" s="236" t="str">
        <f>IF(D85="X","TRUE","FALSE")</f>
        <v>FALSE</v>
      </c>
      <c r="R217" s="237">
        <f t="shared" si="12"/>
        <v>0</v>
      </c>
      <c r="S217" s="237">
        <f t="shared" si="13"/>
        <v>0</v>
      </c>
      <c r="T217" s="237">
        <f t="shared" si="14"/>
        <v>0</v>
      </c>
      <c r="U217" s="238" t="e">
        <f>(VLOOKUP($P$9,Per_diem_table,1)*N217)-SUM((X217,Y217,Z217))</f>
        <v>#REF!</v>
      </c>
      <c r="V217" s="237" t="e">
        <f>IF(U217&lt;5,5,U217)</f>
        <v>#REF!</v>
      </c>
      <c r="X217" s="170">
        <f>IF(AND(N217=0.75,($O217="TRUE")),ABS('Per Diem Calc Tool'!$R217*0.75),IF($O217="TRUE",ABS('Per Diem Calc Tool'!$R217),""))</f>
      </c>
      <c r="Y217" s="170">
        <f>IF(AND(N217=0.75,($P217="TRUE")),ABS('Per Diem Calc Tool'!$S217*0.75),IF($P217="TRUE",ABS('Per Diem Calc Tool'!$S217),""))</f>
      </c>
      <c r="Z217" s="170">
        <f>IF(AND(N217=0.75,($Q217="TRUE")),ABS('Per Diem Calc Tool'!$T217*0.75),IF($Q217="TRUE",ABS('Per Diem Calc Tool'!$T217),""))</f>
      </c>
    </row>
    <row r="218" spans="12:26" ht="13.5">
      <c r="L218" s="188"/>
      <c r="N218" s="235"/>
      <c r="O218" s="236"/>
      <c r="P218" s="236"/>
      <c r="Q218" s="236"/>
      <c r="R218" s="237">
        <f t="shared" si="12"/>
        <v>0</v>
      </c>
      <c r="S218" s="237">
        <f t="shared" si="13"/>
        <v>0</v>
      </c>
      <c r="T218" s="237">
        <f t="shared" si="14"/>
        <v>0</v>
      </c>
      <c r="U218" s="238" t="e">
        <f>(VLOOKUP($P$9,Per_diem_table,1)*N218)-SUM((X218,Y218,Z218))</f>
        <v>#REF!</v>
      </c>
      <c r="V218" s="237"/>
      <c r="X218" s="170">
        <f>IF(AND(N218=0.75,($O218="TRUE")),ABS('Per Diem Calc Tool'!$R218*0.75),IF($O218="TRUE",ABS('Per Diem Calc Tool'!$R218),""))</f>
      </c>
      <c r="Y218" s="170">
        <f>IF(AND(N218=0.75,($P218="TRUE")),ABS('Per Diem Calc Tool'!$S218*0.75),IF($P218="TRUE",ABS('Per Diem Calc Tool'!$S218),""))</f>
      </c>
      <c r="Z218" s="170">
        <f>IF(AND(N218=0.75,($Q218="TRUE")),ABS('Per Diem Calc Tool'!$T218*0.75),IF($Q218="TRUE",ABS('Per Diem Calc Tool'!$T218),""))</f>
      </c>
    </row>
    <row r="219" spans="12:26" ht="13.5">
      <c r="L219" s="188"/>
      <c r="N219" s="235"/>
      <c r="O219" s="236"/>
      <c r="P219" s="236"/>
      <c r="Q219" s="236"/>
      <c r="R219" s="237">
        <f t="shared" si="12"/>
        <v>0</v>
      </c>
      <c r="S219" s="237">
        <f t="shared" si="13"/>
        <v>0</v>
      </c>
      <c r="T219" s="237">
        <f t="shared" si="14"/>
        <v>0</v>
      </c>
      <c r="U219" s="238" t="e">
        <f>(VLOOKUP($P$9,Per_diem_table,1)*N219)-SUM((X219,Y219,Z219))</f>
        <v>#REF!</v>
      </c>
      <c r="V219" s="237"/>
      <c r="X219" s="170">
        <f>IF(AND(N219=0.75,($O219="TRUE")),ABS('Per Diem Calc Tool'!$R219*0.75),IF($O219="TRUE",ABS('Per Diem Calc Tool'!$R219),""))</f>
      </c>
      <c r="Y219" s="170">
        <f>IF(AND(N219=0.75,($P219="TRUE")),ABS('Per Diem Calc Tool'!$S219*0.75),IF($P219="TRUE",ABS('Per Diem Calc Tool'!$S219),""))</f>
      </c>
      <c r="Z219" s="170">
        <f>IF(AND(N219=0.75,($Q219="TRUE")),ABS('Per Diem Calc Tool'!$T219*0.75),IF($Q219="TRUE",ABS('Per Diem Calc Tool'!$T219),""))</f>
      </c>
    </row>
    <row r="220" spans="12:26" ht="13.5">
      <c r="L220" s="188">
        <v>67</v>
      </c>
      <c r="M220" s="169" t="b">
        <f>+L220&lt;=$O$7</f>
        <v>0</v>
      </c>
      <c r="N220" s="235">
        <f>IF(L220=$O$7,0.75,1)</f>
        <v>1</v>
      </c>
      <c r="O220" s="236" t="str">
        <f>IF(B86="X","TRUE","FALSE")</f>
        <v>FALSE</v>
      </c>
      <c r="P220" s="236" t="str">
        <f>IF(C86="X","TRUE","FALSE")</f>
        <v>FALSE</v>
      </c>
      <c r="Q220" s="236" t="str">
        <f>IF(D86="X","TRUE","FALSE")</f>
        <v>FALSE</v>
      </c>
      <c r="R220" s="237">
        <f t="shared" si="12"/>
        <v>0</v>
      </c>
      <c r="S220" s="237">
        <f t="shared" si="13"/>
        <v>0</v>
      </c>
      <c r="T220" s="237">
        <f t="shared" si="14"/>
        <v>0</v>
      </c>
      <c r="U220" s="238" t="e">
        <f>(VLOOKUP($P$9,Per_diem_table,1)*N220)-SUM((X220,Y220,Z220))</f>
        <v>#REF!</v>
      </c>
      <c r="V220" s="237" t="e">
        <f>IF(U220&lt;5,5,U220)</f>
        <v>#REF!</v>
      </c>
      <c r="X220" s="170">
        <f>IF(AND(N220=0.75,($O220="TRUE")),ABS('Per Diem Calc Tool'!$R220*0.75),IF($O220="TRUE",ABS('Per Diem Calc Tool'!$R220),""))</f>
      </c>
      <c r="Y220" s="170">
        <f>IF(AND(N220=0.75,($P220="TRUE")),ABS('Per Diem Calc Tool'!$S220*0.75),IF($P220="TRUE",ABS('Per Diem Calc Tool'!$S220),""))</f>
      </c>
      <c r="Z220" s="170">
        <f>IF(AND(N220=0.75,($Q220="TRUE")),ABS('Per Diem Calc Tool'!$T220*0.75),IF($Q220="TRUE",ABS('Per Diem Calc Tool'!$T220),""))</f>
      </c>
    </row>
    <row r="221" spans="12:26" ht="13.5">
      <c r="L221" s="188"/>
      <c r="N221" s="235"/>
      <c r="O221" s="236"/>
      <c r="P221" s="236"/>
      <c r="Q221" s="236"/>
      <c r="R221" s="237">
        <f t="shared" si="12"/>
        <v>0</v>
      </c>
      <c r="S221" s="237">
        <f t="shared" si="13"/>
        <v>0</v>
      </c>
      <c r="T221" s="237">
        <f t="shared" si="14"/>
        <v>0</v>
      </c>
      <c r="U221" s="238" t="e">
        <f>(VLOOKUP($P$9,Per_diem_table,1)*N221)-SUM((X221,Y221,Z221))</f>
        <v>#REF!</v>
      </c>
      <c r="V221" s="237"/>
      <c r="X221" s="170">
        <f>IF(AND(N221=0.75,($O221="TRUE")),ABS('Per Diem Calc Tool'!$R221*0.75),IF($O221="TRUE",ABS('Per Diem Calc Tool'!$R221),""))</f>
      </c>
      <c r="Y221" s="170">
        <f>IF(AND(N221=0.75,($P221="TRUE")),ABS('Per Diem Calc Tool'!$S221*0.75),IF($P221="TRUE",ABS('Per Diem Calc Tool'!$S221),""))</f>
      </c>
      <c r="Z221" s="170">
        <f>IF(AND(N221=0.75,($Q221="TRUE")),ABS('Per Diem Calc Tool'!$T221*0.75),IF($Q221="TRUE",ABS('Per Diem Calc Tool'!$T221),""))</f>
      </c>
    </row>
    <row r="222" spans="12:26" ht="13.5">
      <c r="L222" s="188"/>
      <c r="N222" s="235"/>
      <c r="O222" s="236"/>
      <c r="P222" s="236"/>
      <c r="Q222" s="236"/>
      <c r="R222" s="237">
        <f t="shared" si="12"/>
        <v>0</v>
      </c>
      <c r="S222" s="237">
        <f t="shared" si="13"/>
        <v>0</v>
      </c>
      <c r="T222" s="237">
        <f t="shared" si="14"/>
        <v>0</v>
      </c>
      <c r="U222" s="238" t="e">
        <f>(VLOOKUP($P$9,Per_diem_table,1)*N222)-SUM((X222,Y222,Z222))</f>
        <v>#REF!</v>
      </c>
      <c r="V222" s="237"/>
      <c r="X222" s="170">
        <f>IF(AND(N222=0.75,($O222="TRUE")),ABS('Per Diem Calc Tool'!$R222*0.75),IF($O222="TRUE",ABS('Per Diem Calc Tool'!$R222),""))</f>
      </c>
      <c r="Y222" s="170">
        <f>IF(AND(N222=0.75,($P222="TRUE")),ABS('Per Diem Calc Tool'!$S222*0.75),IF($P222="TRUE",ABS('Per Diem Calc Tool'!$S222),""))</f>
      </c>
      <c r="Z222" s="170">
        <f>IF(AND(N222=0.75,($Q222="TRUE")),ABS('Per Diem Calc Tool'!$T222*0.75),IF($Q222="TRUE",ABS('Per Diem Calc Tool'!$T222),""))</f>
      </c>
    </row>
    <row r="223" spans="12:26" ht="13.5">
      <c r="L223" s="188">
        <v>68</v>
      </c>
      <c r="M223" s="169" t="b">
        <f>+L223&lt;=$O$7</f>
        <v>0</v>
      </c>
      <c r="N223" s="235">
        <f>IF(L223=$O$7,0.75,1)</f>
        <v>1</v>
      </c>
      <c r="O223" s="236" t="str">
        <f>IF(B87="X","TRUE","FALSE")</f>
        <v>FALSE</v>
      </c>
      <c r="P223" s="236" t="str">
        <f>IF(C87="X","TRUE","FALSE")</f>
        <v>FALSE</v>
      </c>
      <c r="Q223" s="236" t="str">
        <f>IF(D87="X","TRUE","FALSE")</f>
        <v>FALSE</v>
      </c>
      <c r="R223" s="237">
        <f t="shared" si="12"/>
        <v>0</v>
      </c>
      <c r="S223" s="237">
        <f t="shared" si="13"/>
        <v>0</v>
      </c>
      <c r="T223" s="237">
        <f t="shared" si="14"/>
        <v>0</v>
      </c>
      <c r="U223" s="238" t="e">
        <f>(VLOOKUP($P$9,Per_diem_table,1)*N223)-SUM((X223,Y223,Z223))</f>
        <v>#REF!</v>
      </c>
      <c r="V223" s="237" t="e">
        <f>IF(U223&lt;5,5,U223)</f>
        <v>#REF!</v>
      </c>
      <c r="X223" s="170">
        <f>IF(AND(N223=0.75,($O223="TRUE")),ABS('Per Diem Calc Tool'!$R223*0.75),IF($O223="TRUE",ABS('Per Diem Calc Tool'!$R223),""))</f>
      </c>
      <c r="Y223" s="170">
        <f>IF(AND(N223=0.75,($P223="TRUE")),ABS('Per Diem Calc Tool'!$S223*0.75),IF($P223="TRUE",ABS('Per Diem Calc Tool'!$S223),""))</f>
      </c>
      <c r="Z223" s="170">
        <f>IF(AND(N223=0.75,($Q223="TRUE")),ABS('Per Diem Calc Tool'!$T223*0.75),IF($Q223="TRUE",ABS('Per Diem Calc Tool'!$T223),""))</f>
      </c>
    </row>
    <row r="224" spans="12:26" ht="13.5">
      <c r="L224" s="188"/>
      <c r="N224" s="235"/>
      <c r="O224" s="236"/>
      <c r="P224" s="236"/>
      <c r="Q224" s="236"/>
      <c r="R224" s="237">
        <f t="shared" si="12"/>
        <v>0</v>
      </c>
      <c r="S224" s="237">
        <f t="shared" si="13"/>
        <v>0</v>
      </c>
      <c r="T224" s="237">
        <f t="shared" si="14"/>
        <v>0</v>
      </c>
      <c r="U224" s="238" t="e">
        <f>(VLOOKUP($P$9,Per_diem_table,1)*N224)-SUM((X224,Y224,Z224))</f>
        <v>#REF!</v>
      </c>
      <c r="V224" s="237"/>
      <c r="X224" s="170">
        <f>IF(AND(N224=0.75,($O224="TRUE")),ABS('Per Diem Calc Tool'!$R224*0.75),IF($O224="TRUE",ABS('Per Diem Calc Tool'!$R224),""))</f>
      </c>
      <c r="Y224" s="170">
        <f>IF(AND(N224=0.75,($P224="TRUE")),ABS('Per Diem Calc Tool'!$S224*0.75),IF($P224="TRUE",ABS('Per Diem Calc Tool'!$S224),""))</f>
      </c>
      <c r="Z224" s="170">
        <f>IF(AND(N224=0.75,($Q224="TRUE")),ABS('Per Diem Calc Tool'!$T224*0.75),IF($Q224="TRUE",ABS('Per Diem Calc Tool'!$T224),""))</f>
      </c>
    </row>
    <row r="225" spans="12:26" ht="13.5">
      <c r="L225" s="188"/>
      <c r="N225" s="235"/>
      <c r="O225" s="236"/>
      <c r="P225" s="236"/>
      <c r="Q225" s="236"/>
      <c r="R225" s="237">
        <f t="shared" si="12"/>
        <v>0</v>
      </c>
      <c r="S225" s="237">
        <f t="shared" si="13"/>
        <v>0</v>
      </c>
      <c r="T225" s="237">
        <f t="shared" si="14"/>
        <v>0</v>
      </c>
      <c r="U225" s="238" t="e">
        <f>(VLOOKUP($P$9,Per_diem_table,1)*N225)-SUM((X225,Y225,Z225))</f>
        <v>#REF!</v>
      </c>
      <c r="V225" s="237"/>
      <c r="X225" s="170">
        <f>IF(AND(N225=0.75,($O225="TRUE")),ABS('Per Diem Calc Tool'!$R225*0.75),IF($O225="TRUE",ABS('Per Diem Calc Tool'!$R225),""))</f>
      </c>
      <c r="Y225" s="170">
        <f>IF(AND(N225=0.75,($P225="TRUE")),ABS('Per Diem Calc Tool'!$S225*0.75),IF($P225="TRUE",ABS('Per Diem Calc Tool'!$S225),""))</f>
      </c>
      <c r="Z225" s="170">
        <f>IF(AND(N225=0.75,($Q225="TRUE")),ABS('Per Diem Calc Tool'!$T225*0.75),IF($Q225="TRUE",ABS('Per Diem Calc Tool'!$T225),""))</f>
      </c>
    </row>
    <row r="226" spans="12:26" ht="13.5">
      <c r="L226" s="188">
        <v>69</v>
      </c>
      <c r="M226" s="169" t="b">
        <f>+L226&lt;=$O$7</f>
        <v>0</v>
      </c>
      <c r="N226" s="235">
        <f>IF(L226=$O$7,0.75,1)</f>
        <v>1</v>
      </c>
      <c r="O226" s="236" t="str">
        <f>IF(B88="X","TRUE","FALSE")</f>
        <v>FALSE</v>
      </c>
      <c r="P226" s="236" t="str">
        <f>IF(C88="X","TRUE","FALSE")</f>
        <v>FALSE</v>
      </c>
      <c r="Q226" s="236" t="str">
        <f>IF(D88="X","TRUE","FALSE")</f>
        <v>FALSE</v>
      </c>
      <c r="R226" s="237">
        <f t="shared" si="12"/>
        <v>0</v>
      </c>
      <c r="S226" s="237">
        <f t="shared" si="13"/>
        <v>0</v>
      </c>
      <c r="T226" s="237">
        <f t="shared" si="14"/>
        <v>0</v>
      </c>
      <c r="U226" s="238" t="e">
        <f>(VLOOKUP($P$9,Per_diem_table,1)*N226)-SUM((X226,Y226,Z226))</f>
        <v>#REF!</v>
      </c>
      <c r="V226" s="237" t="e">
        <f>IF(U226&lt;5,5,U226)</f>
        <v>#REF!</v>
      </c>
      <c r="X226" s="170">
        <f>IF(AND(N226=0.75,($O226="TRUE")),ABS('Per Diem Calc Tool'!$R226*0.75),IF($O226="TRUE",ABS('Per Diem Calc Tool'!$R226),""))</f>
      </c>
      <c r="Y226" s="170">
        <f>IF(AND(N226=0.75,($P226="TRUE")),ABS('Per Diem Calc Tool'!$S226*0.75),IF($P226="TRUE",ABS('Per Diem Calc Tool'!$S226),""))</f>
      </c>
      <c r="Z226" s="170">
        <f>IF(AND(N226=0.75,($Q226="TRUE")),ABS('Per Diem Calc Tool'!$T226*0.75),IF($Q226="TRUE",ABS('Per Diem Calc Tool'!$T226),""))</f>
      </c>
    </row>
    <row r="227" spans="12:26" ht="13.5">
      <c r="L227" s="188"/>
      <c r="N227" s="235"/>
      <c r="O227" s="236"/>
      <c r="P227" s="236"/>
      <c r="Q227" s="236"/>
      <c r="R227" s="237">
        <f t="shared" si="12"/>
        <v>0</v>
      </c>
      <c r="S227" s="237">
        <f t="shared" si="13"/>
        <v>0</v>
      </c>
      <c r="T227" s="237">
        <f t="shared" si="14"/>
        <v>0</v>
      </c>
      <c r="U227" s="238" t="e">
        <f>(VLOOKUP($P$9,Per_diem_table,1)*N227)-SUM((X227,Y227,Z227))</f>
        <v>#REF!</v>
      </c>
      <c r="V227" s="237"/>
      <c r="X227" s="170">
        <f>IF(AND(N227=0.75,($O227="TRUE")),ABS('Per Diem Calc Tool'!$R227*0.75),IF($O227="TRUE",ABS('Per Diem Calc Tool'!$R227),""))</f>
      </c>
      <c r="Y227" s="170">
        <f>IF(AND(N227=0.75,($P227="TRUE")),ABS('Per Diem Calc Tool'!$S227*0.75),IF($P227="TRUE",ABS('Per Diem Calc Tool'!$S227),""))</f>
      </c>
      <c r="Z227" s="170">
        <f>IF(AND(N227=0.75,($Q227="TRUE")),ABS('Per Diem Calc Tool'!$T227*0.75),IF($Q227="TRUE",ABS('Per Diem Calc Tool'!$T227),""))</f>
      </c>
    </row>
    <row r="228" spans="12:26" ht="13.5">
      <c r="L228" s="188"/>
      <c r="N228" s="235"/>
      <c r="O228" s="236"/>
      <c r="P228" s="236"/>
      <c r="Q228" s="236"/>
      <c r="R228" s="237">
        <f t="shared" si="12"/>
        <v>0</v>
      </c>
      <c r="S228" s="237">
        <f t="shared" si="13"/>
        <v>0</v>
      </c>
      <c r="T228" s="237">
        <f t="shared" si="14"/>
        <v>0</v>
      </c>
      <c r="U228" s="238" t="e">
        <f>(VLOOKUP($P$9,Per_diem_table,1)*N228)-SUM((X228,Y228,Z228))</f>
        <v>#REF!</v>
      </c>
      <c r="V228" s="237"/>
      <c r="X228" s="170">
        <f>IF(AND(N228=0.75,($O228="TRUE")),ABS('Per Diem Calc Tool'!$R228*0.75),IF($O228="TRUE",ABS('Per Diem Calc Tool'!$R228),""))</f>
      </c>
      <c r="Y228" s="170">
        <f>IF(AND(N228=0.75,($P228="TRUE")),ABS('Per Diem Calc Tool'!$S228*0.75),IF($P228="TRUE",ABS('Per Diem Calc Tool'!$S228),""))</f>
      </c>
      <c r="Z228" s="170">
        <f>IF(AND(N228=0.75,($Q228="TRUE")),ABS('Per Diem Calc Tool'!$T228*0.75),IF($Q228="TRUE",ABS('Per Diem Calc Tool'!$T228),""))</f>
      </c>
    </row>
    <row r="229" spans="12:26" ht="13.5">
      <c r="L229" s="188">
        <v>70</v>
      </c>
      <c r="M229" s="169" t="b">
        <f>+L229&lt;=$O$7</f>
        <v>0</v>
      </c>
      <c r="N229" s="235">
        <f>IF(L229=$O$7,0.75,1)</f>
        <v>1</v>
      </c>
      <c r="O229" s="236" t="str">
        <f>IF(B89="X","TRUE","FALSE")</f>
        <v>FALSE</v>
      </c>
      <c r="P229" s="236" t="str">
        <f>IF(C89="X","TRUE","FALSE")</f>
        <v>FALSE</v>
      </c>
      <c r="Q229" s="236" t="str">
        <f>IF(D89="X","TRUE","FALSE")</f>
        <v>FALSE</v>
      </c>
      <c r="R229" s="237">
        <f t="shared" si="12"/>
        <v>0</v>
      </c>
      <c r="S229" s="237">
        <f t="shared" si="13"/>
        <v>0</v>
      </c>
      <c r="T229" s="237">
        <f t="shared" si="14"/>
        <v>0</v>
      </c>
      <c r="U229" s="238" t="e">
        <f>(VLOOKUP($P$9,Per_diem_table,1)*N229)-SUM((X229,Y229,Z229))</f>
        <v>#REF!</v>
      </c>
      <c r="V229" s="237" t="e">
        <f>IF(U229&lt;5,5,U229)</f>
        <v>#REF!</v>
      </c>
      <c r="X229" s="170">
        <f>IF(AND(N229=0.75,($O229="TRUE")),ABS('Per Diem Calc Tool'!$R229*0.75),IF($O229="TRUE",ABS('Per Diem Calc Tool'!$R229),""))</f>
      </c>
      <c r="Y229" s="170">
        <f>IF(AND(N229=0.75,($P229="TRUE")),ABS('Per Diem Calc Tool'!$S229*0.75),IF($P229="TRUE",ABS('Per Diem Calc Tool'!$S229),""))</f>
      </c>
      <c r="Z229" s="170">
        <f>IF(AND(N229=0.75,($Q229="TRUE")),ABS('Per Diem Calc Tool'!$T229*0.75),IF($Q229="TRUE",ABS('Per Diem Calc Tool'!$T229),""))</f>
      </c>
    </row>
    <row r="230" spans="12:26" ht="13.5">
      <c r="L230" s="188"/>
      <c r="N230" s="235"/>
      <c r="O230" s="236"/>
      <c r="P230" s="236"/>
      <c r="Q230" s="236"/>
      <c r="R230" s="237">
        <f t="shared" si="12"/>
        <v>0</v>
      </c>
      <c r="S230" s="237">
        <f t="shared" si="13"/>
        <v>0</v>
      </c>
      <c r="T230" s="237">
        <f t="shared" si="14"/>
        <v>0</v>
      </c>
      <c r="U230" s="238" t="e">
        <f>(VLOOKUP($P$9,Per_diem_table,1)*N230)-SUM((X230,Y230,Z230))</f>
        <v>#REF!</v>
      </c>
      <c r="V230" s="237"/>
      <c r="X230" s="170">
        <f>IF(AND(N230=0.75,($O230="TRUE")),ABS('Per Diem Calc Tool'!$R230*0.75),IF($O230="TRUE",ABS('Per Diem Calc Tool'!$R230),""))</f>
      </c>
      <c r="Y230" s="170">
        <f>IF(AND(N230=0.75,($P230="TRUE")),ABS('Per Diem Calc Tool'!$S230*0.75),IF($P230="TRUE",ABS('Per Diem Calc Tool'!$S230),""))</f>
      </c>
      <c r="Z230" s="170">
        <f>IF(AND(N230=0.75,($Q230="TRUE")),ABS('Per Diem Calc Tool'!$T230*0.75),IF($Q230="TRUE",ABS('Per Diem Calc Tool'!$T230),""))</f>
      </c>
    </row>
    <row r="231" spans="12:26" ht="13.5">
      <c r="L231" s="188"/>
      <c r="N231" s="235"/>
      <c r="O231" s="236"/>
      <c r="P231" s="236"/>
      <c r="Q231" s="236"/>
      <c r="R231" s="237">
        <f t="shared" si="12"/>
        <v>0</v>
      </c>
      <c r="S231" s="237">
        <f t="shared" si="13"/>
        <v>0</v>
      </c>
      <c r="T231" s="237">
        <f t="shared" si="14"/>
        <v>0</v>
      </c>
      <c r="U231" s="238" t="e">
        <f>(VLOOKUP($P$9,Per_diem_table,1)*N231)-SUM((X231,Y231,Z231))</f>
        <v>#REF!</v>
      </c>
      <c r="V231" s="237"/>
      <c r="X231" s="170">
        <f>IF(AND(N231=0.75,($O231="TRUE")),ABS('Per Diem Calc Tool'!$R231*0.75),IF($O231="TRUE",ABS('Per Diem Calc Tool'!$R231),""))</f>
      </c>
      <c r="Y231" s="170">
        <f>IF(AND(N231=0.75,($P231="TRUE")),ABS('Per Diem Calc Tool'!$S231*0.75),IF($P231="TRUE",ABS('Per Diem Calc Tool'!$S231),""))</f>
      </c>
      <c r="Z231" s="170">
        <f>IF(AND(N231=0.75,($Q231="TRUE")),ABS('Per Diem Calc Tool'!$T231*0.75),IF($Q231="TRUE",ABS('Per Diem Calc Tool'!$T231),""))</f>
      </c>
    </row>
    <row r="232" spans="12:26" ht="13.5">
      <c r="L232" s="188">
        <v>71</v>
      </c>
      <c r="M232" s="169" t="b">
        <f>+L232&lt;=$O$7</f>
        <v>0</v>
      </c>
      <c r="N232" s="235">
        <f>IF(L232=$O$7,0.75,1)</f>
        <v>1</v>
      </c>
      <c r="O232" s="236" t="str">
        <f>IF(B90="X","TRUE","FALSE")</f>
        <v>FALSE</v>
      </c>
      <c r="P232" s="236" t="str">
        <f>IF(C90="X","TRUE","FALSE")</f>
        <v>FALSE</v>
      </c>
      <c r="Q232" s="236" t="str">
        <f>IF(D90="X","TRUE","FALSE")</f>
        <v>FALSE</v>
      </c>
      <c r="R232" s="237">
        <f t="shared" si="12"/>
        <v>0</v>
      </c>
      <c r="S232" s="237">
        <f t="shared" si="13"/>
        <v>0</v>
      </c>
      <c r="T232" s="237">
        <f t="shared" si="14"/>
        <v>0</v>
      </c>
      <c r="U232" s="238" t="e">
        <f>(VLOOKUP($P$9,Per_diem_table,1)*N232)-SUM((X232,Y232,Z232))</f>
        <v>#REF!</v>
      </c>
      <c r="V232" s="237" t="e">
        <f>IF(U232&lt;5,5,U232)</f>
        <v>#REF!</v>
      </c>
      <c r="X232" s="170">
        <f>IF(AND(N232=0.75,($O232="TRUE")),ABS('Per Diem Calc Tool'!$R232*0.75),IF($O232="TRUE",ABS('Per Diem Calc Tool'!$R232),""))</f>
      </c>
      <c r="Y232" s="170">
        <f>IF(AND(N232=0.75,($P232="TRUE")),ABS('Per Diem Calc Tool'!$S232*0.75),IF($P232="TRUE",ABS('Per Diem Calc Tool'!$S232),""))</f>
      </c>
      <c r="Z232" s="170">
        <f>IF(AND(N232=0.75,($Q232="TRUE")),ABS('Per Diem Calc Tool'!$T232*0.75),IF($Q232="TRUE",ABS('Per Diem Calc Tool'!$T232),""))</f>
      </c>
    </row>
    <row r="233" spans="12:26" ht="13.5">
      <c r="L233" s="188"/>
      <c r="N233" s="235"/>
      <c r="O233" s="236"/>
      <c r="P233" s="236"/>
      <c r="Q233" s="236"/>
      <c r="R233" s="237">
        <f t="shared" si="12"/>
        <v>0</v>
      </c>
      <c r="S233" s="237">
        <f t="shared" si="13"/>
        <v>0</v>
      </c>
      <c r="T233" s="237">
        <f t="shared" si="14"/>
        <v>0</v>
      </c>
      <c r="U233" s="238" t="e">
        <f>(VLOOKUP($P$9,Per_diem_table,1)*N233)-SUM((X233,Y233,Z233))</f>
        <v>#REF!</v>
      </c>
      <c r="V233" s="237"/>
      <c r="X233" s="170">
        <f>IF(AND(N233=0.75,($O233="TRUE")),ABS('Per Diem Calc Tool'!$R233*0.75),IF($O233="TRUE",ABS('Per Diem Calc Tool'!$R233),""))</f>
      </c>
      <c r="Y233" s="170">
        <f>IF(AND(N233=0.75,($P233="TRUE")),ABS('Per Diem Calc Tool'!$S233*0.75),IF($P233="TRUE",ABS('Per Diem Calc Tool'!$S233),""))</f>
      </c>
      <c r="Z233" s="170">
        <f>IF(AND(N233=0.75,($Q233="TRUE")),ABS('Per Diem Calc Tool'!$T233*0.75),IF($Q233="TRUE",ABS('Per Diem Calc Tool'!$T233),""))</f>
      </c>
    </row>
    <row r="234" spans="12:26" ht="13.5">
      <c r="L234" s="188"/>
      <c r="N234" s="235"/>
      <c r="O234" s="236"/>
      <c r="P234" s="236"/>
      <c r="Q234" s="236"/>
      <c r="R234" s="237">
        <f t="shared" si="12"/>
        <v>0</v>
      </c>
      <c r="S234" s="237">
        <f t="shared" si="13"/>
        <v>0</v>
      </c>
      <c r="T234" s="237">
        <f t="shared" si="14"/>
        <v>0</v>
      </c>
      <c r="U234" s="238" t="e">
        <f>(VLOOKUP($P$9,Per_diem_table,1)*N234)-SUM((X234,Y234,Z234))</f>
        <v>#REF!</v>
      </c>
      <c r="V234" s="237"/>
      <c r="X234" s="170">
        <f>IF(AND(N234=0.75,($O234="TRUE")),ABS('Per Diem Calc Tool'!$R234*0.75),IF($O234="TRUE",ABS('Per Diem Calc Tool'!$R234),""))</f>
      </c>
      <c r="Y234" s="170">
        <f>IF(AND(N234=0.75,($P234="TRUE")),ABS('Per Diem Calc Tool'!$S234*0.75),IF($P234="TRUE",ABS('Per Diem Calc Tool'!$S234),""))</f>
      </c>
      <c r="Z234" s="170">
        <f>IF(AND(N234=0.75,($Q234="TRUE")),ABS('Per Diem Calc Tool'!$T234*0.75),IF($Q234="TRUE",ABS('Per Diem Calc Tool'!$T234),""))</f>
      </c>
    </row>
    <row r="235" spans="12:26" ht="13.5">
      <c r="L235" s="188">
        <v>72</v>
      </c>
      <c r="M235" s="169" t="b">
        <f>+L235&lt;=$O$7</f>
        <v>0</v>
      </c>
      <c r="N235" s="235">
        <f>IF(L235=$O$7,0.75,1)</f>
        <v>1</v>
      </c>
      <c r="O235" s="236" t="str">
        <f>IF(B91="X","TRUE","FALSE")</f>
        <v>FALSE</v>
      </c>
      <c r="P235" s="236" t="str">
        <f>IF(C91="X","TRUE","FALSE")</f>
        <v>FALSE</v>
      </c>
      <c r="Q235" s="236" t="str">
        <f>IF(D91="X","TRUE","FALSE")</f>
        <v>FALSE</v>
      </c>
      <c r="R235" s="237">
        <f t="shared" si="12"/>
        <v>0</v>
      </c>
      <c r="S235" s="237">
        <f t="shared" si="13"/>
        <v>0</v>
      </c>
      <c r="T235" s="237">
        <f t="shared" si="14"/>
        <v>0</v>
      </c>
      <c r="U235" s="238" t="e">
        <f>(VLOOKUP($P$9,Per_diem_table,1)*N235)-SUM((X235,Y235,Z235))</f>
        <v>#REF!</v>
      </c>
      <c r="V235" s="237" t="e">
        <f>IF(U235&lt;5,5,U235)</f>
        <v>#REF!</v>
      </c>
      <c r="X235" s="170">
        <f>IF(AND(N235=0.75,($O235="TRUE")),ABS('Per Diem Calc Tool'!$R235*0.75),IF($O235="TRUE",ABS('Per Diem Calc Tool'!$R235),""))</f>
      </c>
      <c r="Y235" s="170">
        <f>IF(AND(N235=0.75,($P235="TRUE")),ABS('Per Diem Calc Tool'!$S235*0.75),IF($P235="TRUE",ABS('Per Diem Calc Tool'!$S235),""))</f>
      </c>
      <c r="Z235" s="170">
        <f>IF(AND(N235=0.75,($Q235="TRUE")),ABS('Per Diem Calc Tool'!$T235*0.75),IF($Q235="TRUE",ABS('Per Diem Calc Tool'!$T235),""))</f>
      </c>
    </row>
    <row r="236" spans="12:26" ht="13.5">
      <c r="L236" s="188"/>
      <c r="N236" s="235"/>
      <c r="O236" s="236"/>
      <c r="P236" s="236"/>
      <c r="Q236" s="236"/>
      <c r="R236" s="237">
        <f t="shared" si="12"/>
        <v>0</v>
      </c>
      <c r="S236" s="237">
        <f t="shared" si="13"/>
        <v>0</v>
      </c>
      <c r="T236" s="237">
        <f t="shared" si="14"/>
        <v>0</v>
      </c>
      <c r="U236" s="238" t="e">
        <f>(VLOOKUP($P$9,Per_diem_table,1)*N236)-SUM((X236,Y236,Z236))</f>
        <v>#REF!</v>
      </c>
      <c r="V236" s="237"/>
      <c r="X236" s="170">
        <f>IF(AND(N236=0.75,($O236="TRUE")),ABS('Per Diem Calc Tool'!$R236*0.75),IF($O236="TRUE",ABS('Per Diem Calc Tool'!$R236),""))</f>
      </c>
      <c r="Y236" s="170">
        <f>IF(AND(N236=0.75,($P236="TRUE")),ABS('Per Diem Calc Tool'!$S236*0.75),IF($P236="TRUE",ABS('Per Diem Calc Tool'!$S236),""))</f>
      </c>
      <c r="Z236" s="170">
        <f>IF(AND(N236=0.75,($Q236="TRUE")),ABS('Per Diem Calc Tool'!$T236*0.75),IF($Q236="TRUE",ABS('Per Diem Calc Tool'!$T236),""))</f>
      </c>
    </row>
    <row r="237" spans="12:26" ht="13.5">
      <c r="L237" s="188"/>
      <c r="N237" s="235"/>
      <c r="O237" s="236"/>
      <c r="P237" s="236"/>
      <c r="Q237" s="236"/>
      <c r="R237" s="237">
        <f t="shared" si="12"/>
        <v>0</v>
      </c>
      <c r="S237" s="237">
        <f t="shared" si="13"/>
        <v>0</v>
      </c>
      <c r="T237" s="237">
        <f t="shared" si="14"/>
        <v>0</v>
      </c>
      <c r="U237" s="238" t="e">
        <f>(VLOOKUP($P$9,Per_diem_table,1)*N237)-SUM((X237,Y237,Z237))</f>
        <v>#REF!</v>
      </c>
      <c r="V237" s="237"/>
      <c r="X237" s="170">
        <f>IF(AND(N237=0.75,($O237="TRUE")),ABS('Per Diem Calc Tool'!$R237*0.75),IF($O237="TRUE",ABS('Per Diem Calc Tool'!$R237),""))</f>
      </c>
      <c r="Y237" s="170">
        <f>IF(AND(N237=0.75,($P237="TRUE")),ABS('Per Diem Calc Tool'!$S237*0.75),IF($P237="TRUE",ABS('Per Diem Calc Tool'!$S237),""))</f>
      </c>
      <c r="Z237" s="170">
        <f>IF(AND(N237=0.75,($Q237="TRUE")),ABS('Per Diem Calc Tool'!$T237*0.75),IF($Q237="TRUE",ABS('Per Diem Calc Tool'!$T237),""))</f>
      </c>
    </row>
    <row r="238" spans="12:26" ht="13.5">
      <c r="L238" s="188">
        <v>73</v>
      </c>
      <c r="M238" s="169" t="b">
        <f>+L238&lt;=$O$7</f>
        <v>0</v>
      </c>
      <c r="N238" s="235">
        <f>IF(L238=$O$7,0.75,1)</f>
        <v>1</v>
      </c>
      <c r="O238" s="236" t="str">
        <f>IF(B92="X","TRUE","FALSE")</f>
        <v>FALSE</v>
      </c>
      <c r="P238" s="236" t="str">
        <f>IF(C92="X","TRUE","FALSE")</f>
        <v>FALSE</v>
      </c>
      <c r="Q238" s="236" t="str">
        <f>IF(D92="X","TRUE","FALSE")</f>
        <v>FALSE</v>
      </c>
      <c r="R238" s="237">
        <f t="shared" si="12"/>
        <v>0</v>
      </c>
      <c r="S238" s="237">
        <f t="shared" si="13"/>
        <v>0</v>
      </c>
      <c r="T238" s="237">
        <f t="shared" si="14"/>
        <v>0</v>
      </c>
      <c r="U238" s="238" t="e">
        <f>(VLOOKUP($P$9,Per_diem_table,1)*N238)-SUM((X238,Y238,Z238))</f>
        <v>#REF!</v>
      </c>
      <c r="V238" s="237" t="e">
        <f>IF(U238&lt;5,5,U238)</f>
        <v>#REF!</v>
      </c>
      <c r="X238" s="170">
        <f>IF(AND(N238=0.75,($O238="TRUE")),ABS('Per Diem Calc Tool'!$R238*0.75),IF($O238="TRUE",ABS('Per Diem Calc Tool'!$R238),""))</f>
      </c>
      <c r="Y238" s="170">
        <f>IF(AND(N238=0.75,($P238="TRUE")),ABS('Per Diem Calc Tool'!$S238*0.75),IF($P238="TRUE",ABS('Per Diem Calc Tool'!$S238),""))</f>
      </c>
      <c r="Z238" s="170">
        <f>IF(AND(N238=0.75,($Q238="TRUE")),ABS('Per Diem Calc Tool'!$T238*0.75),IF($Q238="TRUE",ABS('Per Diem Calc Tool'!$T238),""))</f>
      </c>
    </row>
    <row r="239" spans="12:26" ht="13.5">
      <c r="L239" s="188"/>
      <c r="N239" s="235"/>
      <c r="O239" s="236"/>
      <c r="P239" s="236"/>
      <c r="Q239" s="236"/>
      <c r="R239" s="237">
        <f t="shared" si="12"/>
        <v>0</v>
      </c>
      <c r="S239" s="237">
        <f t="shared" si="13"/>
        <v>0</v>
      </c>
      <c r="T239" s="237">
        <f t="shared" si="14"/>
        <v>0</v>
      </c>
      <c r="U239" s="238" t="e">
        <f>(VLOOKUP($P$9,Per_diem_table,1)*N239)-SUM((X239,Y239,Z239))</f>
        <v>#REF!</v>
      </c>
      <c r="V239" s="237"/>
      <c r="X239" s="170">
        <f>IF(AND(N239=0.75,($O239="TRUE")),ABS('Per Diem Calc Tool'!$R239*0.75),IF($O239="TRUE",ABS('Per Diem Calc Tool'!$R239),""))</f>
      </c>
      <c r="Y239" s="170">
        <f>IF(AND(N239=0.75,($P239="TRUE")),ABS('Per Diem Calc Tool'!$S239*0.75),IF($P239="TRUE",ABS('Per Diem Calc Tool'!$S239),""))</f>
      </c>
      <c r="Z239" s="170">
        <f>IF(AND(N239=0.75,($Q239="TRUE")),ABS('Per Diem Calc Tool'!$T239*0.75),IF($Q239="TRUE",ABS('Per Diem Calc Tool'!$T239),""))</f>
      </c>
    </row>
    <row r="240" spans="12:26" ht="13.5">
      <c r="L240" s="188"/>
      <c r="N240" s="235"/>
      <c r="O240" s="236"/>
      <c r="P240" s="236"/>
      <c r="Q240" s="236"/>
      <c r="R240" s="237">
        <f t="shared" si="12"/>
        <v>0</v>
      </c>
      <c r="S240" s="237">
        <f t="shared" si="13"/>
        <v>0</v>
      </c>
      <c r="T240" s="237">
        <f t="shared" si="14"/>
        <v>0</v>
      </c>
      <c r="U240" s="238" t="e">
        <f>(VLOOKUP($P$9,Per_diem_table,1)*N240)-SUM((X240,Y240,Z240))</f>
        <v>#REF!</v>
      </c>
      <c r="V240" s="237"/>
      <c r="X240" s="170">
        <f>IF(AND(N240=0.75,($O240="TRUE")),ABS('Per Diem Calc Tool'!$R240*0.75),IF($O240="TRUE",ABS('Per Diem Calc Tool'!$R240),""))</f>
      </c>
      <c r="Y240" s="170">
        <f>IF(AND(N240=0.75,($P240="TRUE")),ABS('Per Diem Calc Tool'!$S240*0.75),IF($P240="TRUE",ABS('Per Diem Calc Tool'!$S240),""))</f>
      </c>
      <c r="Z240" s="170">
        <f>IF(AND(N240=0.75,($Q240="TRUE")),ABS('Per Diem Calc Tool'!$T240*0.75),IF($Q240="TRUE",ABS('Per Diem Calc Tool'!$T240),""))</f>
      </c>
    </row>
    <row r="241" spans="12:26" ht="13.5">
      <c r="L241" s="188">
        <v>74</v>
      </c>
      <c r="M241" s="169" t="b">
        <f>+L241&lt;=$O$7</f>
        <v>0</v>
      </c>
      <c r="N241" s="235">
        <f>IF(L241=$O$7,0.75,1)</f>
        <v>1</v>
      </c>
      <c r="O241" s="236" t="str">
        <f>IF(B93="X","TRUE","FALSE")</f>
        <v>FALSE</v>
      </c>
      <c r="P241" s="236" t="str">
        <f>IF(C93="X","TRUE","FALSE")</f>
        <v>FALSE</v>
      </c>
      <c r="Q241" s="236" t="str">
        <f>IF(D93="X","TRUE","FALSE")</f>
        <v>FALSE</v>
      </c>
      <c r="R241" s="237">
        <f t="shared" si="12"/>
        <v>0</v>
      </c>
      <c r="S241" s="237">
        <f t="shared" si="13"/>
        <v>0</v>
      </c>
      <c r="T241" s="237">
        <f t="shared" si="14"/>
        <v>0</v>
      </c>
      <c r="U241" s="238" t="e">
        <f>(VLOOKUP($P$9,Per_diem_table,1)*N241)-SUM((X241,Y241,Z241))</f>
        <v>#REF!</v>
      </c>
      <c r="V241" s="237" t="e">
        <f>IF(U241&lt;5,5,U241)</f>
        <v>#REF!</v>
      </c>
      <c r="X241" s="170">
        <f>IF(AND(N241=0.75,($O241="TRUE")),ABS('Per Diem Calc Tool'!$R241*0.75),IF($O241="TRUE",ABS('Per Diem Calc Tool'!$R241),""))</f>
      </c>
      <c r="Y241" s="170">
        <f>IF(AND(N241=0.75,($P241="TRUE")),ABS('Per Diem Calc Tool'!$S241*0.75),IF($P241="TRUE",ABS('Per Diem Calc Tool'!$S241),""))</f>
      </c>
      <c r="Z241" s="170">
        <f>IF(AND(N241=0.75,($Q241="TRUE")),ABS('Per Diem Calc Tool'!$T241*0.75),IF($Q241="TRUE",ABS('Per Diem Calc Tool'!$T241),""))</f>
      </c>
    </row>
    <row r="242" spans="12:26" ht="13.5">
      <c r="L242" s="188"/>
      <c r="N242" s="235"/>
      <c r="O242" s="236"/>
      <c r="P242" s="236"/>
      <c r="Q242" s="236"/>
      <c r="R242" s="237">
        <f t="shared" si="12"/>
        <v>0</v>
      </c>
      <c r="S242" s="237">
        <f t="shared" si="13"/>
        <v>0</v>
      </c>
      <c r="T242" s="237">
        <f t="shared" si="14"/>
        <v>0</v>
      </c>
      <c r="U242" s="238" t="e">
        <f>(VLOOKUP($P$9,Per_diem_table,1)*N242)-SUM((X242,Y242,Z242))</f>
        <v>#REF!</v>
      </c>
      <c r="V242" s="237"/>
      <c r="X242" s="170">
        <f>IF(AND(N242=0.75,($O242="TRUE")),ABS('Per Diem Calc Tool'!$R242*0.75),IF($O242="TRUE",ABS('Per Diem Calc Tool'!$R242),""))</f>
      </c>
      <c r="Y242" s="170">
        <f>IF(AND(N242=0.75,($P242="TRUE")),ABS('Per Diem Calc Tool'!$S242*0.75),IF($P242="TRUE",ABS('Per Diem Calc Tool'!$S242),""))</f>
      </c>
      <c r="Z242" s="170">
        <f>IF(AND(N242=0.75,($Q242="TRUE")),ABS('Per Diem Calc Tool'!$T242*0.75),IF($Q242="TRUE",ABS('Per Diem Calc Tool'!$T242),""))</f>
      </c>
    </row>
    <row r="243" spans="12:26" ht="13.5">
      <c r="L243" s="188"/>
      <c r="N243" s="235"/>
      <c r="O243" s="236"/>
      <c r="P243" s="236"/>
      <c r="Q243" s="236"/>
      <c r="R243" s="237">
        <f t="shared" si="12"/>
        <v>0</v>
      </c>
      <c r="S243" s="237">
        <f t="shared" si="13"/>
        <v>0</v>
      </c>
      <c r="T243" s="237">
        <f t="shared" si="14"/>
        <v>0</v>
      </c>
      <c r="U243" s="238" t="e">
        <f>(VLOOKUP($P$9,Per_diem_table,1)*N243)-SUM((X243,Y243,Z243))</f>
        <v>#REF!</v>
      </c>
      <c r="V243" s="237"/>
      <c r="X243" s="170">
        <f>IF(AND(N243=0.75,($O243="TRUE")),ABS('Per Diem Calc Tool'!$R243*0.75),IF($O243="TRUE",ABS('Per Diem Calc Tool'!$R243),""))</f>
      </c>
      <c r="Y243" s="170">
        <f>IF(AND(N243=0.75,($P243="TRUE")),ABS('Per Diem Calc Tool'!$S243*0.75),IF($P243="TRUE",ABS('Per Diem Calc Tool'!$S243),""))</f>
      </c>
      <c r="Z243" s="170">
        <f>IF(AND(N243=0.75,($Q243="TRUE")),ABS('Per Diem Calc Tool'!$T243*0.75),IF($Q243="TRUE",ABS('Per Diem Calc Tool'!$T243),""))</f>
      </c>
    </row>
    <row r="244" spans="12:26" ht="13.5">
      <c r="L244" s="188">
        <v>75</v>
      </c>
      <c r="M244" s="169" t="b">
        <f>+L244&lt;=$O$7</f>
        <v>0</v>
      </c>
      <c r="N244" s="235">
        <f>IF(L244=$O$7,0.75,1)</f>
        <v>1</v>
      </c>
      <c r="O244" s="236" t="str">
        <f>IF(B94="X","TRUE","FALSE")</f>
        <v>FALSE</v>
      </c>
      <c r="P244" s="236" t="str">
        <f>IF(C94="X","TRUE","FALSE")</f>
        <v>FALSE</v>
      </c>
      <c r="Q244" s="236" t="str">
        <f>IF(D94="X","TRUE","FALSE")</f>
        <v>FALSE</v>
      </c>
      <c r="R244" s="237">
        <f t="shared" si="12"/>
        <v>0</v>
      </c>
      <c r="S244" s="237">
        <f t="shared" si="13"/>
        <v>0</v>
      </c>
      <c r="T244" s="237">
        <f t="shared" si="14"/>
        <v>0</v>
      </c>
      <c r="U244" s="238" t="e">
        <f>(VLOOKUP($P$9,Per_diem_table,1)*N244)-SUM((X244,Y244,Z244))</f>
        <v>#REF!</v>
      </c>
      <c r="V244" s="237" t="e">
        <f>IF(U244&lt;5,5,U244)</f>
        <v>#REF!</v>
      </c>
      <c r="X244" s="170">
        <f>IF(AND(N244=0.75,($O244="TRUE")),ABS('Per Diem Calc Tool'!$R244*0.75),IF($O244="TRUE",ABS('Per Diem Calc Tool'!$R244),""))</f>
      </c>
      <c r="Y244" s="170">
        <f>IF(AND(N244=0.75,($P244="TRUE")),ABS('Per Diem Calc Tool'!$S244*0.75),IF($P244="TRUE",ABS('Per Diem Calc Tool'!$S244),""))</f>
      </c>
      <c r="Z244" s="170">
        <f>IF(AND(N244=0.75,($Q244="TRUE")),ABS('Per Diem Calc Tool'!$T244*0.75),IF($Q244="TRUE",ABS('Per Diem Calc Tool'!$T244),""))</f>
      </c>
    </row>
    <row r="245" spans="12:26" ht="13.5">
      <c r="L245" s="188"/>
      <c r="N245" s="235"/>
      <c r="O245" s="236"/>
      <c r="P245" s="236"/>
      <c r="Q245" s="236"/>
      <c r="R245" s="237">
        <f t="shared" si="12"/>
        <v>0</v>
      </c>
      <c r="S245" s="237">
        <f t="shared" si="13"/>
        <v>0</v>
      </c>
      <c r="T245" s="237">
        <f t="shared" si="14"/>
        <v>0</v>
      </c>
      <c r="U245" s="238" t="e">
        <f>(VLOOKUP($P$9,Per_diem_table,1)*N245)-SUM((X245,Y245,Z245))</f>
        <v>#REF!</v>
      </c>
      <c r="V245" s="237"/>
      <c r="X245" s="170">
        <f>IF(AND(N245=0.75,($O245="TRUE")),ABS('Per Diem Calc Tool'!$R245*0.75),IF($O245="TRUE",ABS('Per Diem Calc Tool'!$R245),""))</f>
      </c>
      <c r="Y245" s="170">
        <f>IF(AND(N245=0.75,($P245="TRUE")),ABS('Per Diem Calc Tool'!$S245*0.75),IF($P245="TRUE",ABS('Per Diem Calc Tool'!$S245),""))</f>
      </c>
      <c r="Z245" s="170">
        <f>IF(AND(N245=0.75,($Q245="TRUE")),ABS('Per Diem Calc Tool'!$T245*0.75),IF($Q245="TRUE",ABS('Per Diem Calc Tool'!$T245),""))</f>
      </c>
    </row>
    <row r="246" spans="12:26" ht="13.5">
      <c r="L246" s="188"/>
      <c r="N246" s="235"/>
      <c r="O246" s="236"/>
      <c r="P246" s="236"/>
      <c r="Q246" s="236"/>
      <c r="R246" s="237">
        <f t="shared" si="12"/>
        <v>0</v>
      </c>
      <c r="S246" s="237">
        <f t="shared" si="13"/>
        <v>0</v>
      </c>
      <c r="T246" s="237">
        <f t="shared" si="14"/>
        <v>0</v>
      </c>
      <c r="U246" s="238" t="e">
        <f>(VLOOKUP($P$9,Per_diem_table,1)*N246)-SUM((X246,Y246,Z246))</f>
        <v>#REF!</v>
      </c>
      <c r="V246" s="237"/>
      <c r="X246" s="170">
        <f>IF(AND(N246=0.75,($O246="TRUE")),ABS('Per Diem Calc Tool'!$R246*0.75),IF($O246="TRUE",ABS('Per Diem Calc Tool'!$R246),""))</f>
      </c>
      <c r="Y246" s="170">
        <f>IF(AND(N246=0.75,($P246="TRUE")),ABS('Per Diem Calc Tool'!$S246*0.75),IF($P246="TRUE",ABS('Per Diem Calc Tool'!$S246),""))</f>
      </c>
      <c r="Z246" s="170">
        <f>IF(AND(N246=0.75,($Q246="TRUE")),ABS('Per Diem Calc Tool'!$T246*0.75),IF($Q246="TRUE",ABS('Per Diem Calc Tool'!$T246),""))</f>
      </c>
    </row>
    <row r="247" spans="12:26" ht="13.5">
      <c r="L247" s="188">
        <v>76</v>
      </c>
      <c r="M247" s="169" t="b">
        <f>+L247&lt;=$O$7</f>
        <v>0</v>
      </c>
      <c r="N247" s="235">
        <f>IF(L247=$O$7,0.75,1)</f>
        <v>1</v>
      </c>
      <c r="O247" s="236" t="str">
        <f>IF(B95="X","TRUE","FALSE")</f>
        <v>FALSE</v>
      </c>
      <c r="P247" s="236" t="str">
        <f>IF(C95="X","TRUE","FALSE")</f>
        <v>FALSE</v>
      </c>
      <c r="Q247" s="236" t="str">
        <f>IF(D95="X","TRUE","FALSE")</f>
        <v>FALSE</v>
      </c>
      <c r="R247" s="237">
        <f t="shared" si="12"/>
        <v>0</v>
      </c>
      <c r="S247" s="237">
        <f t="shared" si="13"/>
        <v>0</v>
      </c>
      <c r="T247" s="237">
        <f t="shared" si="14"/>
        <v>0</v>
      </c>
      <c r="U247" s="238" t="e">
        <f>(VLOOKUP($P$9,Per_diem_table,1)*N247)-SUM((X247,Y247,Z247))</f>
        <v>#REF!</v>
      </c>
      <c r="V247" s="237" t="e">
        <f>IF(U247&lt;5,5,U247)</f>
        <v>#REF!</v>
      </c>
      <c r="X247" s="170">
        <f>IF(AND(N247=0.75,($O247="TRUE")),ABS('Per Diem Calc Tool'!$R247*0.75),IF($O247="TRUE",ABS('Per Diem Calc Tool'!$R247),""))</f>
      </c>
      <c r="Y247" s="170">
        <f>IF(AND(N247=0.75,($P247="TRUE")),ABS('Per Diem Calc Tool'!$S247*0.75),IF($P247="TRUE",ABS('Per Diem Calc Tool'!$S247),""))</f>
      </c>
      <c r="Z247" s="170">
        <f>IF(AND(N247=0.75,($Q247="TRUE")),ABS('Per Diem Calc Tool'!$T247*0.75),IF($Q247="TRUE",ABS('Per Diem Calc Tool'!$T247),""))</f>
      </c>
    </row>
    <row r="248" spans="12:26" ht="13.5">
      <c r="L248" s="188"/>
      <c r="N248" s="235"/>
      <c r="O248" s="236"/>
      <c r="P248" s="236"/>
      <c r="Q248" s="236"/>
      <c r="R248" s="237">
        <f t="shared" si="12"/>
        <v>0</v>
      </c>
      <c r="S248" s="237">
        <f t="shared" si="13"/>
        <v>0</v>
      </c>
      <c r="T248" s="237">
        <f t="shared" si="14"/>
        <v>0</v>
      </c>
      <c r="U248" s="238" t="e">
        <f>(VLOOKUP($P$9,Per_diem_table,1)*N248)-SUM((X248,Y248,Z248))</f>
        <v>#REF!</v>
      </c>
      <c r="V248" s="237"/>
      <c r="X248" s="170">
        <f>IF(AND(N248=0.75,($O248="TRUE")),ABS('Per Diem Calc Tool'!$R248*0.75),IF($O248="TRUE",ABS('Per Diem Calc Tool'!$R248),""))</f>
      </c>
      <c r="Y248" s="170">
        <f>IF(AND(N248=0.75,($P248="TRUE")),ABS('Per Diem Calc Tool'!$S248*0.75),IF($P248="TRUE",ABS('Per Diem Calc Tool'!$S248),""))</f>
      </c>
      <c r="Z248" s="170">
        <f>IF(AND(N248=0.75,($Q248="TRUE")),ABS('Per Diem Calc Tool'!$T248*0.75),IF($Q248="TRUE",ABS('Per Diem Calc Tool'!$T248),""))</f>
      </c>
    </row>
    <row r="249" spans="12:26" ht="13.5">
      <c r="L249" s="188"/>
      <c r="N249" s="235"/>
      <c r="O249" s="236"/>
      <c r="P249" s="236"/>
      <c r="Q249" s="236"/>
      <c r="R249" s="237">
        <f t="shared" si="12"/>
        <v>0</v>
      </c>
      <c r="S249" s="237">
        <f t="shared" si="13"/>
        <v>0</v>
      </c>
      <c r="T249" s="237">
        <f t="shared" si="14"/>
        <v>0</v>
      </c>
      <c r="U249" s="238" t="e">
        <f>(VLOOKUP($P$9,Per_diem_table,1)*N249)-SUM((X249,Y249,Z249))</f>
        <v>#REF!</v>
      </c>
      <c r="V249" s="237"/>
      <c r="X249" s="170">
        <f>IF(AND(N249=0.75,($O249="TRUE")),ABS('Per Diem Calc Tool'!$R249*0.75),IF($O249="TRUE",ABS('Per Diem Calc Tool'!$R249),""))</f>
      </c>
      <c r="Y249" s="170">
        <f>IF(AND(N249=0.75,($P249="TRUE")),ABS('Per Diem Calc Tool'!$S249*0.75),IF($P249="TRUE",ABS('Per Diem Calc Tool'!$S249),""))</f>
      </c>
      <c r="Z249" s="170">
        <f>IF(AND(N249=0.75,($Q249="TRUE")),ABS('Per Diem Calc Tool'!$T249*0.75),IF($Q249="TRUE",ABS('Per Diem Calc Tool'!$T249),""))</f>
      </c>
    </row>
    <row r="250" spans="12:26" ht="13.5">
      <c r="L250" s="188">
        <v>77</v>
      </c>
      <c r="M250" s="169" t="b">
        <f>+L250&lt;=$O$7</f>
        <v>0</v>
      </c>
      <c r="N250" s="235">
        <f>IF(L250=$O$7,0.75,1)</f>
        <v>1</v>
      </c>
      <c r="O250" s="236" t="str">
        <f>IF(B96="X","TRUE","FALSE")</f>
        <v>FALSE</v>
      </c>
      <c r="P250" s="236" t="str">
        <f>IF(C96="X","TRUE","FALSE")</f>
        <v>FALSE</v>
      </c>
      <c r="Q250" s="236" t="str">
        <f>IF(D96="X","TRUE","FALSE")</f>
        <v>FALSE</v>
      </c>
      <c r="R250" s="237">
        <f t="shared" si="12"/>
        <v>0</v>
      </c>
      <c r="S250" s="237">
        <f t="shared" si="13"/>
        <v>0</v>
      </c>
      <c r="T250" s="237">
        <f t="shared" si="14"/>
        <v>0</v>
      </c>
      <c r="U250" s="238" t="e">
        <f>(VLOOKUP($P$9,Per_diem_table,1)*N250)-SUM((X250,Y250,Z250))</f>
        <v>#REF!</v>
      </c>
      <c r="V250" s="237" t="e">
        <f>IF(U250&lt;5,5,U250)</f>
        <v>#REF!</v>
      </c>
      <c r="X250" s="170">
        <f>IF(AND(N250=0.75,($O250="TRUE")),ABS('Per Diem Calc Tool'!$R250*0.75),IF($O250="TRUE",ABS('Per Diem Calc Tool'!$R250),""))</f>
      </c>
      <c r="Y250" s="170">
        <f>IF(AND(N250=0.75,($P250="TRUE")),ABS('Per Diem Calc Tool'!$S250*0.75),IF($P250="TRUE",ABS('Per Diem Calc Tool'!$S250),""))</f>
      </c>
      <c r="Z250" s="170">
        <f>IF(AND(N250=0.75,($Q250="TRUE")),ABS('Per Diem Calc Tool'!$T250*0.75),IF($Q250="TRUE",ABS('Per Diem Calc Tool'!$T250),""))</f>
      </c>
    </row>
    <row r="251" spans="12:26" ht="13.5">
      <c r="L251" s="188"/>
      <c r="N251" s="235"/>
      <c r="O251" s="236"/>
      <c r="P251" s="236"/>
      <c r="Q251" s="236"/>
      <c r="R251" s="237">
        <f t="shared" si="12"/>
        <v>0</v>
      </c>
      <c r="S251" s="237">
        <f t="shared" si="13"/>
        <v>0</v>
      </c>
      <c r="T251" s="237">
        <f t="shared" si="14"/>
        <v>0</v>
      </c>
      <c r="U251" s="238" t="e">
        <f>(VLOOKUP($P$9,Per_diem_table,1)*N251)-SUM((X251,Y251,Z251))</f>
        <v>#REF!</v>
      </c>
      <c r="V251" s="237"/>
      <c r="X251" s="170">
        <f>IF(AND(N251=0.75,($O251="TRUE")),ABS('Per Diem Calc Tool'!$R251*0.75),IF($O251="TRUE",ABS('Per Diem Calc Tool'!$R251),""))</f>
      </c>
      <c r="Y251" s="170">
        <f>IF(AND(N251=0.75,($P251="TRUE")),ABS('Per Diem Calc Tool'!$S251*0.75),IF($P251="TRUE",ABS('Per Diem Calc Tool'!$S251),""))</f>
      </c>
      <c r="Z251" s="170">
        <f>IF(AND(N251=0.75,($Q251="TRUE")),ABS('Per Diem Calc Tool'!$T251*0.75),IF($Q251="TRUE",ABS('Per Diem Calc Tool'!$T251),""))</f>
      </c>
    </row>
    <row r="252" spans="12:26" ht="13.5">
      <c r="L252" s="188"/>
      <c r="N252" s="235"/>
      <c r="O252" s="236"/>
      <c r="P252" s="236"/>
      <c r="Q252" s="236"/>
      <c r="R252" s="237">
        <f t="shared" si="12"/>
        <v>0</v>
      </c>
      <c r="S252" s="237">
        <f t="shared" si="13"/>
        <v>0</v>
      </c>
      <c r="T252" s="237">
        <f t="shared" si="14"/>
        <v>0</v>
      </c>
      <c r="U252" s="238" t="e">
        <f>(VLOOKUP($P$9,Per_diem_table,1)*N252)-SUM((X252,Y252,Z252))</f>
        <v>#REF!</v>
      </c>
      <c r="V252" s="237"/>
      <c r="X252" s="170">
        <f>IF(AND(N252=0.75,($O252="TRUE")),ABS('Per Diem Calc Tool'!$R252*0.75),IF($O252="TRUE",ABS('Per Diem Calc Tool'!$R252),""))</f>
      </c>
      <c r="Y252" s="170">
        <f>IF(AND(N252=0.75,($P252="TRUE")),ABS('Per Diem Calc Tool'!$S252*0.75),IF($P252="TRUE",ABS('Per Diem Calc Tool'!$S252),""))</f>
      </c>
      <c r="Z252" s="170">
        <f>IF(AND(N252=0.75,($Q252="TRUE")),ABS('Per Diem Calc Tool'!$T252*0.75),IF($Q252="TRUE",ABS('Per Diem Calc Tool'!$T252),""))</f>
      </c>
    </row>
    <row r="253" spans="12:26" ht="13.5">
      <c r="L253" s="188">
        <v>78</v>
      </c>
      <c r="M253" s="169" t="b">
        <f>+L253&lt;=$O$7</f>
        <v>0</v>
      </c>
      <c r="N253" s="235">
        <f>IF(L253=$O$7,0.75,1)</f>
        <v>1</v>
      </c>
      <c r="O253" s="236" t="str">
        <f>IF(B97="X","TRUE","FALSE")</f>
        <v>FALSE</v>
      </c>
      <c r="P253" s="236" t="str">
        <f>IF(C97="X","TRUE","FALSE")</f>
        <v>FALSE</v>
      </c>
      <c r="Q253" s="236" t="str">
        <f>IF(D97="X","TRUE","FALSE")</f>
        <v>FALSE</v>
      </c>
      <c r="R253" s="237">
        <f t="shared" si="12"/>
        <v>0</v>
      </c>
      <c r="S253" s="237">
        <f t="shared" si="13"/>
        <v>0</v>
      </c>
      <c r="T253" s="237">
        <f t="shared" si="14"/>
        <v>0</v>
      </c>
      <c r="U253" s="238" t="e">
        <f>(VLOOKUP($P$9,Per_diem_table,1)*N253)-SUM((X253,Y253,Z253))</f>
        <v>#REF!</v>
      </c>
      <c r="V253" s="237" t="e">
        <f>IF(U253&lt;5,5,U253)</f>
        <v>#REF!</v>
      </c>
      <c r="X253" s="170">
        <f>IF(AND(N253=0.75,($O253="TRUE")),ABS('Per Diem Calc Tool'!$R253*0.75),IF($O253="TRUE",ABS('Per Diem Calc Tool'!$R253),""))</f>
      </c>
      <c r="Y253" s="170">
        <f>IF(AND(N253=0.75,($P253="TRUE")),ABS('Per Diem Calc Tool'!$S253*0.75),IF($P253="TRUE",ABS('Per Diem Calc Tool'!$S253),""))</f>
      </c>
      <c r="Z253" s="170">
        <f>IF(AND(N253=0.75,($Q253="TRUE")),ABS('Per Diem Calc Tool'!$T253*0.75),IF($Q253="TRUE",ABS('Per Diem Calc Tool'!$T253),""))</f>
      </c>
    </row>
    <row r="254" spans="12:26" ht="13.5">
      <c r="L254" s="188"/>
      <c r="N254" s="235"/>
      <c r="O254" s="236"/>
      <c r="P254" s="236"/>
      <c r="Q254" s="236"/>
      <c r="R254" s="237">
        <f t="shared" si="12"/>
        <v>0</v>
      </c>
      <c r="S254" s="237">
        <f t="shared" si="13"/>
        <v>0</v>
      </c>
      <c r="T254" s="237">
        <f t="shared" si="14"/>
        <v>0</v>
      </c>
      <c r="U254" s="238" t="e">
        <f>(VLOOKUP($P$9,Per_diem_table,1)*N254)-SUM((X254,Y254,Z254))</f>
        <v>#REF!</v>
      </c>
      <c r="V254" s="237"/>
      <c r="X254" s="170">
        <f>IF(AND(N254=0.75,($O254="TRUE")),ABS('Per Diem Calc Tool'!$R254*0.75),IF($O254="TRUE",ABS('Per Diem Calc Tool'!$R254),""))</f>
      </c>
      <c r="Y254" s="170">
        <f>IF(AND(N254=0.75,($P254="TRUE")),ABS('Per Diem Calc Tool'!$S254*0.75),IF($P254="TRUE",ABS('Per Diem Calc Tool'!$S254),""))</f>
      </c>
      <c r="Z254" s="170">
        <f>IF(AND(N254=0.75,($Q254="TRUE")),ABS('Per Diem Calc Tool'!$T254*0.75),IF($Q254="TRUE",ABS('Per Diem Calc Tool'!$T254),""))</f>
      </c>
    </row>
    <row r="255" spans="12:26" ht="13.5">
      <c r="L255" s="188"/>
      <c r="N255" s="235"/>
      <c r="O255" s="236"/>
      <c r="P255" s="236"/>
      <c r="Q255" s="236"/>
      <c r="R255" s="237">
        <f t="shared" si="12"/>
        <v>0</v>
      </c>
      <c r="S255" s="237">
        <f t="shared" si="13"/>
        <v>0</v>
      </c>
      <c r="T255" s="237">
        <f t="shared" si="14"/>
        <v>0</v>
      </c>
      <c r="U255" s="238" t="e">
        <f>(VLOOKUP($P$9,Per_diem_table,1)*N255)-SUM((X255,Y255,Z255))</f>
        <v>#REF!</v>
      </c>
      <c r="V255" s="237"/>
      <c r="X255" s="170">
        <f>IF(AND(N255=0.75,($O255="TRUE")),ABS('Per Diem Calc Tool'!$R255*0.75),IF($O255="TRUE",ABS('Per Diem Calc Tool'!$R255),""))</f>
      </c>
      <c r="Y255" s="170">
        <f>IF(AND(N255=0.75,($P255="TRUE")),ABS('Per Diem Calc Tool'!$S255*0.75),IF($P255="TRUE",ABS('Per Diem Calc Tool'!$S255),""))</f>
      </c>
      <c r="Z255" s="170">
        <f>IF(AND(N255=0.75,($Q255="TRUE")),ABS('Per Diem Calc Tool'!$T255*0.75),IF($Q255="TRUE",ABS('Per Diem Calc Tool'!$T255),""))</f>
      </c>
    </row>
    <row r="256" spans="12:26" ht="13.5">
      <c r="L256" s="188">
        <v>79</v>
      </c>
      <c r="M256" s="169" t="b">
        <f>+L256&lt;=$O$7</f>
        <v>0</v>
      </c>
      <c r="N256" s="235">
        <f>IF(L256=$O$7,0.75,1)</f>
        <v>1</v>
      </c>
      <c r="O256" s="236" t="str">
        <f>IF(B98="X","TRUE","FALSE")</f>
        <v>FALSE</v>
      </c>
      <c r="P256" s="236" t="str">
        <f>IF(C98="X","TRUE","FALSE")</f>
        <v>FALSE</v>
      </c>
      <c r="Q256" s="236" t="str">
        <f>IF(D98="X","TRUE","FALSE")</f>
        <v>FALSE</v>
      </c>
      <c r="R256" s="237">
        <f t="shared" si="12"/>
        <v>0</v>
      </c>
      <c r="S256" s="237">
        <f t="shared" si="13"/>
        <v>0</v>
      </c>
      <c r="T256" s="237">
        <f t="shared" si="14"/>
        <v>0</v>
      </c>
      <c r="U256" s="238" t="e">
        <f>(VLOOKUP($P$9,Per_diem_table,1)*N256)-SUM((X256,Y256,Z256))</f>
        <v>#REF!</v>
      </c>
      <c r="V256" s="237" t="e">
        <f>IF(U256&lt;5,5,U256)</f>
        <v>#REF!</v>
      </c>
      <c r="X256" s="170">
        <f>IF(AND(N256=0.75,($O256="TRUE")),ABS('Per Diem Calc Tool'!$R256*0.75),IF($O256="TRUE",ABS('Per Diem Calc Tool'!$R256),""))</f>
      </c>
      <c r="Y256" s="170">
        <f>IF(AND(N256=0.75,($P256="TRUE")),ABS('Per Diem Calc Tool'!$S256*0.75),IF($P256="TRUE",ABS('Per Diem Calc Tool'!$S256),""))</f>
      </c>
      <c r="Z256" s="170">
        <f>IF(AND(N256=0.75,($Q256="TRUE")),ABS('Per Diem Calc Tool'!$T256*0.75),IF($Q256="TRUE",ABS('Per Diem Calc Tool'!$T256),""))</f>
      </c>
    </row>
    <row r="257" spans="12:26" ht="13.5">
      <c r="L257" s="188"/>
      <c r="N257" s="235"/>
      <c r="O257" s="236"/>
      <c r="P257" s="236"/>
      <c r="Q257" s="236"/>
      <c r="R257" s="237">
        <f t="shared" si="12"/>
        <v>0</v>
      </c>
      <c r="S257" s="237">
        <f t="shared" si="13"/>
        <v>0</v>
      </c>
      <c r="T257" s="237">
        <f t="shared" si="14"/>
        <v>0</v>
      </c>
      <c r="U257" s="238" t="e">
        <f>(VLOOKUP($P$9,Per_diem_table,1)*N257)-SUM((X257,Y257,Z257))</f>
        <v>#REF!</v>
      </c>
      <c r="V257" s="237"/>
      <c r="X257" s="170">
        <f>IF(AND(N257=0.75,($O257="TRUE")),ABS('Per Diem Calc Tool'!$R257*0.75),IF($O257="TRUE",ABS('Per Diem Calc Tool'!$R257),""))</f>
      </c>
      <c r="Y257" s="170">
        <f>IF(AND(N257=0.75,($P257="TRUE")),ABS('Per Diem Calc Tool'!$S257*0.75),IF($P257="TRUE",ABS('Per Diem Calc Tool'!$S257),""))</f>
      </c>
      <c r="Z257" s="170">
        <f>IF(AND(N257=0.75,($Q257="TRUE")),ABS('Per Diem Calc Tool'!$T257*0.75),IF($Q257="TRUE",ABS('Per Diem Calc Tool'!$T257),""))</f>
      </c>
    </row>
    <row r="258" spans="12:26" ht="13.5">
      <c r="L258" s="188"/>
      <c r="N258" s="235"/>
      <c r="O258" s="236"/>
      <c r="P258" s="236"/>
      <c r="Q258" s="236"/>
      <c r="R258" s="237">
        <f t="shared" si="12"/>
        <v>0</v>
      </c>
      <c r="S258" s="237">
        <f t="shared" si="13"/>
        <v>0</v>
      </c>
      <c r="T258" s="237">
        <f t="shared" si="14"/>
        <v>0</v>
      </c>
      <c r="U258" s="238" t="e">
        <f>(VLOOKUP($P$9,Per_diem_table,1)*N258)-SUM((X258,Y258,Z258))</f>
        <v>#REF!</v>
      </c>
      <c r="V258" s="237"/>
      <c r="X258" s="170">
        <f>IF(AND(N258=0.75,($O258="TRUE")),ABS('Per Diem Calc Tool'!$R258*0.75),IF($O258="TRUE",ABS('Per Diem Calc Tool'!$R258),""))</f>
      </c>
      <c r="Y258" s="170">
        <f>IF(AND(N258=0.75,($P258="TRUE")),ABS('Per Diem Calc Tool'!$S258*0.75),IF($P258="TRUE",ABS('Per Diem Calc Tool'!$S258),""))</f>
      </c>
      <c r="Z258" s="170">
        <f>IF(AND(N258=0.75,($Q258="TRUE")),ABS('Per Diem Calc Tool'!$T258*0.75),IF($Q258="TRUE",ABS('Per Diem Calc Tool'!$T258),""))</f>
      </c>
    </row>
    <row r="259" spans="12:26" ht="13.5">
      <c r="L259" s="188">
        <v>80</v>
      </c>
      <c r="M259" s="169" t="b">
        <f>+L259&lt;=$O$7</f>
        <v>0</v>
      </c>
      <c r="N259" s="235">
        <f>IF(L259=$O$7,0.75,1)</f>
        <v>1</v>
      </c>
      <c r="O259" s="236" t="str">
        <f>IF(B99="X","TRUE","FALSE")</f>
        <v>FALSE</v>
      </c>
      <c r="P259" s="236" t="str">
        <f>IF(C99="X","TRUE","FALSE")</f>
        <v>FALSE</v>
      </c>
      <c r="Q259" s="236" t="str">
        <f>IF(D99="X","TRUE","FALSE")</f>
        <v>FALSE</v>
      </c>
      <c r="R259" s="237">
        <f t="shared" si="12"/>
        <v>0</v>
      </c>
      <c r="S259" s="237">
        <f t="shared" si="13"/>
        <v>0</v>
      </c>
      <c r="T259" s="237">
        <f t="shared" si="14"/>
        <v>0</v>
      </c>
      <c r="U259" s="238" t="e">
        <f>(VLOOKUP($P$9,Per_diem_table,1)*N259)-SUM((X259,Y259,Z259))</f>
        <v>#REF!</v>
      </c>
      <c r="V259" s="237" t="e">
        <f>IF(U259&lt;5,5,U259)</f>
        <v>#REF!</v>
      </c>
      <c r="X259" s="170">
        <f>IF(AND(N259=0.75,($O259="TRUE")),ABS('Per Diem Calc Tool'!$R259*0.75),IF($O259="TRUE",ABS('Per Diem Calc Tool'!$R259),""))</f>
      </c>
      <c r="Y259" s="170">
        <f>IF(AND(N259=0.75,($P259="TRUE")),ABS('Per Diem Calc Tool'!$S259*0.75),IF($P259="TRUE",ABS('Per Diem Calc Tool'!$S259),""))</f>
      </c>
      <c r="Z259" s="170">
        <f>IF(AND(N259=0.75,($Q259="TRUE")),ABS('Per Diem Calc Tool'!$T259*0.75),IF($Q259="TRUE",ABS('Per Diem Calc Tool'!$T259),""))</f>
      </c>
    </row>
    <row r="260" spans="12:26" ht="13.5">
      <c r="L260" s="188"/>
      <c r="N260" s="235"/>
      <c r="O260" s="236"/>
      <c r="P260" s="236"/>
      <c r="Q260" s="236"/>
      <c r="R260" s="237">
        <f t="shared" si="12"/>
        <v>0</v>
      </c>
      <c r="S260" s="237">
        <f t="shared" si="13"/>
        <v>0</v>
      </c>
      <c r="T260" s="237">
        <f t="shared" si="14"/>
        <v>0</v>
      </c>
      <c r="U260" s="238" t="e">
        <f>(VLOOKUP($P$9,Per_diem_table,1)*N260)-SUM((X260,Y260,Z260))</f>
        <v>#REF!</v>
      </c>
      <c r="V260" s="237"/>
      <c r="X260" s="170">
        <f>IF(AND(N260=0.75,($O260="TRUE")),ABS('Per Diem Calc Tool'!$R260*0.75),IF($O260="TRUE",ABS('Per Diem Calc Tool'!$R260),""))</f>
      </c>
      <c r="Y260" s="170">
        <f>IF(AND(N260=0.75,($P260="TRUE")),ABS('Per Diem Calc Tool'!$S260*0.75),IF($P260="TRUE",ABS('Per Diem Calc Tool'!$S260),""))</f>
      </c>
      <c r="Z260" s="170">
        <f>IF(AND(N260=0.75,($Q260="TRUE")),ABS('Per Diem Calc Tool'!$T260*0.75),IF($Q260="TRUE",ABS('Per Diem Calc Tool'!$T260),""))</f>
      </c>
    </row>
    <row r="261" spans="12:26" ht="13.5">
      <c r="L261" s="188"/>
      <c r="N261" s="235"/>
      <c r="O261" s="236"/>
      <c r="P261" s="236"/>
      <c r="Q261" s="236"/>
      <c r="R261" s="237">
        <f t="shared" si="12"/>
        <v>0</v>
      </c>
      <c r="S261" s="237">
        <f t="shared" si="13"/>
        <v>0</v>
      </c>
      <c r="T261" s="237">
        <f t="shared" si="14"/>
        <v>0</v>
      </c>
      <c r="U261" s="238" t="e">
        <f>(VLOOKUP($P$9,Per_diem_table,1)*N261)-SUM((X261,Y261,Z261))</f>
        <v>#REF!</v>
      </c>
      <c r="V261" s="237"/>
      <c r="X261" s="170">
        <f>IF(AND(N261=0.75,($O261="TRUE")),ABS('Per Diem Calc Tool'!$R261*0.75),IF($O261="TRUE",ABS('Per Diem Calc Tool'!$R261),""))</f>
      </c>
      <c r="Y261" s="170">
        <f>IF(AND(N261=0.75,($P261="TRUE")),ABS('Per Diem Calc Tool'!$S261*0.75),IF($P261="TRUE",ABS('Per Diem Calc Tool'!$S261),""))</f>
      </c>
      <c r="Z261" s="170">
        <f>IF(AND(N261=0.75,($Q261="TRUE")),ABS('Per Diem Calc Tool'!$T261*0.75),IF($Q261="TRUE",ABS('Per Diem Calc Tool'!$T261),""))</f>
      </c>
    </row>
    <row r="262" spans="12:26" ht="13.5">
      <c r="L262" s="188">
        <v>81</v>
      </c>
      <c r="M262" s="169" t="b">
        <f>+L262&lt;=$O$7</f>
        <v>0</v>
      </c>
      <c r="N262" s="235">
        <f>IF(L262=$O$7,0.75,1)</f>
        <v>1</v>
      </c>
      <c r="O262" s="236" t="str">
        <f>IF(B100="X","TRUE","FALSE")</f>
        <v>FALSE</v>
      </c>
      <c r="P262" s="236" t="str">
        <f>IF(C100="X","TRUE","FALSE")</f>
        <v>FALSE</v>
      </c>
      <c r="Q262" s="236" t="str">
        <f>IF(D100="X","TRUE","FALSE")</f>
        <v>FALSE</v>
      </c>
      <c r="R262" s="237">
        <f t="shared" si="12"/>
        <v>0</v>
      </c>
      <c r="S262" s="237">
        <f t="shared" si="13"/>
        <v>0</v>
      </c>
      <c r="T262" s="237">
        <f t="shared" si="14"/>
        <v>0</v>
      </c>
      <c r="U262" s="238" t="e">
        <f>(VLOOKUP($P$9,Per_diem_table,1)*N262)-SUM((X262,Y262,Z262))</f>
        <v>#REF!</v>
      </c>
      <c r="V262" s="237" t="e">
        <f>IF(U262&lt;5,5,U262)</f>
        <v>#REF!</v>
      </c>
      <c r="X262" s="170">
        <f>IF(AND(N262=0.75,($O262="TRUE")),ABS('Per Diem Calc Tool'!$R262*0.75),IF($O262="TRUE",ABS('Per Diem Calc Tool'!$R262),""))</f>
      </c>
      <c r="Y262" s="170">
        <f>IF(AND(N262=0.75,($P262="TRUE")),ABS('Per Diem Calc Tool'!$S262*0.75),IF($P262="TRUE",ABS('Per Diem Calc Tool'!$S262),""))</f>
      </c>
      <c r="Z262" s="170">
        <f>IF(AND(N262=0.75,($Q262="TRUE")),ABS('Per Diem Calc Tool'!$T262*0.75),IF($Q262="TRUE",ABS('Per Diem Calc Tool'!$T262),""))</f>
      </c>
    </row>
    <row r="263" spans="12:26" ht="13.5">
      <c r="L263" s="188"/>
      <c r="N263" s="235"/>
      <c r="O263" s="236"/>
      <c r="P263" s="236"/>
      <c r="Q263" s="236"/>
      <c r="R263" s="237">
        <f t="shared" si="12"/>
        <v>0</v>
      </c>
      <c r="S263" s="237">
        <f t="shared" si="13"/>
        <v>0</v>
      </c>
      <c r="T263" s="237">
        <f t="shared" si="14"/>
        <v>0</v>
      </c>
      <c r="U263" s="238" t="e">
        <f>(VLOOKUP($P$9,Per_diem_table,1)*N263)-SUM((X263,Y263,Z263))</f>
        <v>#REF!</v>
      </c>
      <c r="V263" s="237"/>
      <c r="X263" s="170">
        <f>IF(AND(N263=0.75,($O263="TRUE")),ABS('Per Diem Calc Tool'!$R263*0.75),IF($O263="TRUE",ABS('Per Diem Calc Tool'!$R263),""))</f>
      </c>
      <c r="Y263" s="170">
        <f>IF(AND(N263=0.75,($P263="TRUE")),ABS('Per Diem Calc Tool'!$S263*0.75),IF($P263="TRUE",ABS('Per Diem Calc Tool'!$S263),""))</f>
      </c>
      <c r="Z263" s="170">
        <f>IF(AND(N263=0.75,($Q263="TRUE")),ABS('Per Diem Calc Tool'!$T263*0.75),IF($Q263="TRUE",ABS('Per Diem Calc Tool'!$T263),""))</f>
      </c>
    </row>
    <row r="264" spans="12:26" ht="13.5">
      <c r="L264" s="188"/>
      <c r="N264" s="235"/>
      <c r="O264" s="236"/>
      <c r="P264" s="236"/>
      <c r="Q264" s="236"/>
      <c r="R264" s="237">
        <f t="shared" si="12"/>
        <v>0</v>
      </c>
      <c r="S264" s="237">
        <f t="shared" si="13"/>
        <v>0</v>
      </c>
      <c r="T264" s="237">
        <f t="shared" si="14"/>
        <v>0</v>
      </c>
      <c r="U264" s="238" t="e">
        <f>(VLOOKUP($P$9,Per_diem_table,1)*N264)-SUM((X264,Y264,Z264))</f>
        <v>#REF!</v>
      </c>
      <c r="V264" s="237"/>
      <c r="X264" s="170">
        <f>IF(AND(N264=0.75,($O264="TRUE")),ABS('Per Diem Calc Tool'!$R264*0.75),IF($O264="TRUE",ABS('Per Diem Calc Tool'!$R264),""))</f>
      </c>
      <c r="Y264" s="170">
        <f>IF(AND(N264=0.75,($P264="TRUE")),ABS('Per Diem Calc Tool'!$S264*0.75),IF($P264="TRUE",ABS('Per Diem Calc Tool'!$S264),""))</f>
      </c>
      <c r="Z264" s="170">
        <f>IF(AND(N264=0.75,($Q264="TRUE")),ABS('Per Diem Calc Tool'!$T264*0.75),IF($Q264="TRUE",ABS('Per Diem Calc Tool'!$T264),""))</f>
      </c>
    </row>
    <row r="265" spans="12:26" ht="13.5">
      <c r="L265" s="188">
        <v>82</v>
      </c>
      <c r="M265" s="169" t="b">
        <f>+L265&lt;=$O$7</f>
        <v>0</v>
      </c>
      <c r="N265" s="235">
        <f>IF(L265=$O$7,0.75,1)</f>
        <v>1</v>
      </c>
      <c r="O265" s="236" t="str">
        <f>IF(B101="X","TRUE","FALSE")</f>
        <v>FALSE</v>
      </c>
      <c r="P265" s="236" t="str">
        <f>IF(C101="X","TRUE","FALSE")</f>
        <v>FALSE</v>
      </c>
      <c r="Q265" s="236" t="str">
        <f>IF(D101="X","TRUE","FALSE")</f>
        <v>FALSE</v>
      </c>
      <c r="R265" s="237">
        <f t="shared" si="12"/>
        <v>0</v>
      </c>
      <c r="S265" s="237">
        <f t="shared" si="13"/>
        <v>0</v>
      </c>
      <c r="T265" s="237">
        <f t="shared" si="14"/>
        <v>0</v>
      </c>
      <c r="U265" s="238" t="e">
        <f>(VLOOKUP($P$9,Per_diem_table,1)*N265)-SUM((X265,Y265,Z265))</f>
        <v>#REF!</v>
      </c>
      <c r="V265" s="237" t="e">
        <f>IF(U265&lt;5,5,U265)</f>
        <v>#REF!</v>
      </c>
      <c r="X265" s="170">
        <f>IF(AND(N265=0.75,($O265="TRUE")),ABS('Per Diem Calc Tool'!$R265*0.75),IF($O265="TRUE",ABS('Per Diem Calc Tool'!$R265),""))</f>
      </c>
      <c r="Y265" s="170">
        <f>IF(AND(N265=0.75,($P265="TRUE")),ABS('Per Diem Calc Tool'!$S265*0.75),IF($P265="TRUE",ABS('Per Diem Calc Tool'!$S265),""))</f>
      </c>
      <c r="Z265" s="170">
        <f>IF(AND(N265=0.75,($Q265="TRUE")),ABS('Per Diem Calc Tool'!$T265*0.75),IF($Q265="TRUE",ABS('Per Diem Calc Tool'!$T265),""))</f>
      </c>
    </row>
    <row r="266" spans="12:26" ht="13.5">
      <c r="L266" s="188"/>
      <c r="N266" s="235"/>
      <c r="O266" s="236"/>
      <c r="P266" s="236"/>
      <c r="Q266" s="236"/>
      <c r="R266" s="237">
        <f t="shared" si="12"/>
        <v>0</v>
      </c>
      <c r="S266" s="237">
        <f t="shared" si="13"/>
        <v>0</v>
      </c>
      <c r="T266" s="237">
        <f t="shared" si="14"/>
        <v>0</v>
      </c>
      <c r="U266" s="238" t="e">
        <f>(VLOOKUP($P$9,Per_diem_table,1)*N266)-SUM((X266,Y266,Z266))</f>
        <v>#REF!</v>
      </c>
      <c r="V266" s="237"/>
      <c r="X266" s="170">
        <f>IF(AND(N266=0.75,($O266="TRUE")),ABS('Per Diem Calc Tool'!$R266*0.75),IF($O266="TRUE",ABS('Per Diem Calc Tool'!$R266),""))</f>
      </c>
      <c r="Y266" s="170">
        <f>IF(AND(N266=0.75,($P266="TRUE")),ABS('Per Diem Calc Tool'!$S266*0.75),IF($P266="TRUE",ABS('Per Diem Calc Tool'!$S266),""))</f>
      </c>
      <c r="Z266" s="170">
        <f>IF(AND(N266=0.75,($Q266="TRUE")),ABS('Per Diem Calc Tool'!$T266*0.75),IF($Q266="TRUE",ABS('Per Diem Calc Tool'!$T266),""))</f>
      </c>
    </row>
    <row r="267" spans="12:26" ht="13.5">
      <c r="L267" s="188"/>
      <c r="N267" s="235"/>
      <c r="O267" s="236"/>
      <c r="P267" s="236"/>
      <c r="Q267" s="236"/>
      <c r="R267" s="237">
        <f t="shared" si="12"/>
        <v>0</v>
      </c>
      <c r="S267" s="237">
        <f t="shared" si="13"/>
        <v>0</v>
      </c>
      <c r="T267" s="237">
        <f t="shared" si="14"/>
        <v>0</v>
      </c>
      <c r="U267" s="238" t="e">
        <f>(VLOOKUP($P$9,Per_diem_table,1)*N267)-SUM((X267,Y267,Z267))</f>
        <v>#REF!</v>
      </c>
      <c r="V267" s="237"/>
      <c r="X267" s="170">
        <f>IF(AND(N267=0.75,($O267="TRUE")),ABS('Per Diem Calc Tool'!$R267*0.75),IF($O267="TRUE",ABS('Per Diem Calc Tool'!$R267),""))</f>
      </c>
      <c r="Y267" s="170">
        <f>IF(AND(N267=0.75,($P267="TRUE")),ABS('Per Diem Calc Tool'!$S267*0.75),IF($P267="TRUE",ABS('Per Diem Calc Tool'!$S267),""))</f>
      </c>
      <c r="Z267" s="170">
        <f>IF(AND(N267=0.75,($Q267="TRUE")),ABS('Per Diem Calc Tool'!$T267*0.75),IF($Q267="TRUE",ABS('Per Diem Calc Tool'!$T267),""))</f>
      </c>
    </row>
    <row r="268" spans="12:26" ht="13.5">
      <c r="L268" s="188">
        <v>83</v>
      </c>
      <c r="M268" s="169" t="b">
        <f>+L268&lt;=$O$7</f>
        <v>0</v>
      </c>
      <c r="N268" s="235">
        <f>IF(L268=$O$7,0.75,1)</f>
        <v>1</v>
      </c>
      <c r="O268" s="236" t="str">
        <f>IF(B102="X","TRUE","FALSE")</f>
        <v>FALSE</v>
      </c>
      <c r="P268" s="236" t="str">
        <f>IF(C102="X","TRUE","FALSE")</f>
        <v>FALSE</v>
      </c>
      <c r="Q268" s="236" t="str">
        <f>IF(D102="X","TRUE","FALSE")</f>
        <v>FALSE</v>
      </c>
      <c r="R268" s="237">
        <f t="shared" si="12"/>
        <v>0</v>
      </c>
      <c r="S268" s="237">
        <f t="shared" si="13"/>
        <v>0</v>
      </c>
      <c r="T268" s="237">
        <f t="shared" si="14"/>
        <v>0</v>
      </c>
      <c r="U268" s="238" t="e">
        <f>(VLOOKUP($P$9,Per_diem_table,1)*N268)-SUM((X268,Y268,Z268))</f>
        <v>#REF!</v>
      </c>
      <c r="V268" s="237" t="e">
        <f>IF(U268&lt;5,5,U268)</f>
        <v>#REF!</v>
      </c>
      <c r="X268" s="170">
        <f>IF(AND(N268=0.75,($O268="TRUE")),ABS('Per Diem Calc Tool'!$R268*0.75),IF($O268="TRUE",ABS('Per Diem Calc Tool'!$R268),""))</f>
      </c>
      <c r="Y268" s="170">
        <f>IF(AND(N268=0.75,($P268="TRUE")),ABS('Per Diem Calc Tool'!$S268*0.75),IF($P268="TRUE",ABS('Per Diem Calc Tool'!$S268),""))</f>
      </c>
      <c r="Z268" s="170">
        <f>IF(AND(N268=0.75,($Q268="TRUE")),ABS('Per Diem Calc Tool'!$T268*0.75),IF($Q268="TRUE",ABS('Per Diem Calc Tool'!$T268),""))</f>
      </c>
    </row>
    <row r="269" spans="12:26" ht="13.5">
      <c r="L269" s="188"/>
      <c r="N269" s="235"/>
      <c r="O269" s="236" t="str">
        <f aca="true" t="shared" si="15" ref="O269:O276">IF(B269="X","TRUE","FALSE")</f>
        <v>FALSE</v>
      </c>
      <c r="P269" s="236"/>
      <c r="Q269" s="236"/>
      <c r="R269" s="237">
        <f t="shared" si="12"/>
        <v>0</v>
      </c>
      <c r="S269" s="237">
        <f t="shared" si="13"/>
        <v>0</v>
      </c>
      <c r="T269" s="237">
        <f t="shared" si="14"/>
        <v>0</v>
      </c>
      <c r="U269" s="238" t="e">
        <f>(VLOOKUP($P$9,Per_diem_table,1)*N269)-SUM((X269,Y269,Z269))</f>
        <v>#REF!</v>
      </c>
      <c r="V269" s="237"/>
      <c r="X269" s="170">
        <f>IF(AND(N269=0.75,($O269="TRUE")),ABS('Per Diem Calc Tool'!$R269*0.75),IF($O269="TRUE",ABS('Per Diem Calc Tool'!$R269),""))</f>
      </c>
      <c r="Y269" s="170">
        <f>IF(AND(N269=0.75,($P269="TRUE")),ABS('Per Diem Calc Tool'!$S269*0.75),IF($P269="TRUE",ABS('Per Diem Calc Tool'!$S269),""))</f>
      </c>
      <c r="Z269" s="170">
        <f>IF(AND(N269=0.75,($Q269="TRUE")),ABS('Per Diem Calc Tool'!$T269*0.75),IF($Q269="TRUE",ABS('Per Diem Calc Tool'!$T269),""))</f>
      </c>
    </row>
    <row r="270" spans="12:26" ht="13.5">
      <c r="L270" s="188"/>
      <c r="N270" s="235"/>
      <c r="O270" s="236" t="str">
        <f t="shared" si="15"/>
        <v>FALSE</v>
      </c>
      <c r="P270" s="236"/>
      <c r="Q270" s="236"/>
      <c r="R270" s="237">
        <f t="shared" si="12"/>
        <v>0</v>
      </c>
      <c r="S270" s="237">
        <f t="shared" si="13"/>
        <v>0</v>
      </c>
      <c r="T270" s="237">
        <f t="shared" si="14"/>
        <v>0</v>
      </c>
      <c r="U270" s="238" t="e">
        <f>(VLOOKUP($P$9,Per_diem_table,1)*N270)-SUM((X270,Y270,Z270))</f>
        <v>#REF!</v>
      </c>
      <c r="V270" s="237"/>
      <c r="X270" s="170">
        <f>IF(AND(N270=0.75,($O270="TRUE")),ABS('Per Diem Calc Tool'!$R270*0.75),IF($O270="TRUE",ABS('Per Diem Calc Tool'!$R270),""))</f>
      </c>
      <c r="Y270" s="170">
        <f>IF(AND(N270=0.75,($P270="TRUE")),ABS('Per Diem Calc Tool'!$S270*0.75),IF($P270="TRUE",ABS('Per Diem Calc Tool'!$S270),""))</f>
      </c>
      <c r="Z270" s="170">
        <f>IF(AND(N270=0.75,($Q270="TRUE")),ABS('Per Diem Calc Tool'!$T270*0.75),IF($Q270="TRUE",ABS('Per Diem Calc Tool'!$T270),""))</f>
      </c>
    </row>
    <row r="271" spans="12:26" ht="13.5">
      <c r="L271" s="188">
        <v>84</v>
      </c>
      <c r="M271" s="169" t="b">
        <f>+L271&lt;=$O$7</f>
        <v>0</v>
      </c>
      <c r="N271" s="235">
        <f>IF(L271=$O$7,0.75,1)</f>
        <v>1</v>
      </c>
      <c r="O271" s="236" t="str">
        <f>IF(B103="X","TRUE","FALSE")</f>
        <v>FALSE</v>
      </c>
      <c r="P271" s="236" t="str">
        <f>IF(C271="X","TRUE","FALSE")</f>
        <v>FALSE</v>
      </c>
      <c r="Q271" s="236" t="str">
        <f>IF(D271="X","TRUE","FALSE")</f>
        <v>FALSE</v>
      </c>
      <c r="R271" s="237">
        <f t="shared" si="12"/>
        <v>0</v>
      </c>
      <c r="S271" s="237">
        <f t="shared" si="13"/>
        <v>0</v>
      </c>
      <c r="T271" s="237">
        <f t="shared" si="14"/>
        <v>0</v>
      </c>
      <c r="U271" s="238" t="e">
        <f>(VLOOKUP($P$9,Per_diem_table,1)*N271)-SUM((X271,Y271,Z271))</f>
        <v>#REF!</v>
      </c>
      <c r="V271" s="237" t="e">
        <f>IF(U271&lt;5,5,U271)</f>
        <v>#REF!</v>
      </c>
      <c r="X271" s="170">
        <f>IF(AND(N271=0.75,($O271="TRUE")),ABS('Per Diem Calc Tool'!$R271*0.75),IF($O271="TRUE",ABS('Per Diem Calc Tool'!$R271),""))</f>
      </c>
      <c r="Y271" s="170">
        <f>IF(AND(N271=0.75,($P271="TRUE")),ABS('Per Diem Calc Tool'!$S271*0.75),IF($P271="TRUE",ABS('Per Diem Calc Tool'!$S271),""))</f>
      </c>
      <c r="Z271" s="170">
        <f>IF(AND(N271=0.75,($Q271="TRUE")),ABS('Per Diem Calc Tool'!$T271*0.75),IF($Q271="TRUE",ABS('Per Diem Calc Tool'!$T271),""))</f>
      </c>
    </row>
    <row r="272" spans="12:26" ht="13.5">
      <c r="L272" s="188"/>
      <c r="N272" s="235"/>
      <c r="O272" s="236" t="str">
        <f t="shared" si="15"/>
        <v>FALSE</v>
      </c>
      <c r="P272" s="236"/>
      <c r="Q272" s="236"/>
      <c r="R272" s="237">
        <f t="shared" si="12"/>
        <v>0</v>
      </c>
      <c r="S272" s="237">
        <f t="shared" si="13"/>
        <v>0</v>
      </c>
      <c r="T272" s="237">
        <f t="shared" si="14"/>
        <v>0</v>
      </c>
      <c r="U272" s="238" t="e">
        <f>(VLOOKUP($P$9,Per_diem_table,1)*N272)-SUM((X272,Y272,Z272))</f>
        <v>#REF!</v>
      </c>
      <c r="V272" s="237"/>
      <c r="X272" s="170">
        <f>IF(AND(N272=0.75,($O272="TRUE")),ABS('Per Diem Calc Tool'!$R272*0.75),IF($O272="TRUE",ABS('Per Diem Calc Tool'!$R272),""))</f>
      </c>
      <c r="Y272" s="170">
        <f>IF(AND(N272=0.75,($P272="TRUE")),ABS('Per Diem Calc Tool'!$S272*0.75),IF($P272="TRUE",ABS('Per Diem Calc Tool'!$S272),""))</f>
      </c>
      <c r="Z272" s="170">
        <f>IF(AND(N272=0.75,($Q272="TRUE")),ABS('Per Diem Calc Tool'!$T272*0.75),IF($Q272="TRUE",ABS('Per Diem Calc Tool'!$T272),""))</f>
      </c>
    </row>
    <row r="273" spans="12:26" ht="13.5">
      <c r="L273" s="188"/>
      <c r="N273" s="235"/>
      <c r="O273" s="236" t="str">
        <f t="shared" si="15"/>
        <v>FALSE</v>
      </c>
      <c r="P273" s="236"/>
      <c r="Q273" s="236"/>
      <c r="R273" s="237">
        <f t="shared" si="12"/>
        <v>0</v>
      </c>
      <c r="S273" s="237">
        <f t="shared" si="13"/>
        <v>0</v>
      </c>
      <c r="T273" s="237">
        <f t="shared" si="14"/>
        <v>0</v>
      </c>
      <c r="U273" s="238" t="e">
        <f>(VLOOKUP($P$9,Per_diem_table,1)*N273)-SUM((X273,Y273,Z273))</f>
        <v>#REF!</v>
      </c>
      <c r="V273" s="237"/>
      <c r="X273" s="170">
        <f>IF(AND(N273=0.75,($O273="TRUE")),ABS('Per Diem Calc Tool'!$R273*0.75),IF($O273="TRUE",ABS('Per Diem Calc Tool'!$R273),""))</f>
      </c>
      <c r="Y273" s="170">
        <f>IF(AND(N273=0.75,($P273="TRUE")),ABS('Per Diem Calc Tool'!$S273*0.75),IF($P273="TRUE",ABS('Per Diem Calc Tool'!$S273),""))</f>
      </c>
      <c r="Z273" s="170">
        <f>IF(AND(N273=0.75,($Q273="TRUE")),ABS('Per Diem Calc Tool'!$T273*0.75),IF($Q273="TRUE",ABS('Per Diem Calc Tool'!$T273),""))</f>
      </c>
    </row>
    <row r="274" spans="12:26" ht="13.5">
      <c r="L274" s="188">
        <v>85</v>
      </c>
      <c r="M274" s="169" t="b">
        <f>+L274&lt;=$O$7</f>
        <v>0</v>
      </c>
      <c r="N274" s="235">
        <f>IF(L274=$O$7,0.75,1)</f>
        <v>1</v>
      </c>
      <c r="O274" s="236" t="str">
        <f>IF(B104="X","TRUE","FALSE")</f>
        <v>FALSE</v>
      </c>
      <c r="P274" s="236" t="str">
        <f>IF(C272="X","TRUE","FALSE")</f>
        <v>FALSE</v>
      </c>
      <c r="Q274" s="236" t="str">
        <f>IF(D272="X","TRUE","FALSE")</f>
        <v>FALSE</v>
      </c>
      <c r="R274" s="237">
        <f t="shared" si="12"/>
        <v>0</v>
      </c>
      <c r="S274" s="237">
        <f t="shared" si="13"/>
        <v>0</v>
      </c>
      <c r="T274" s="237">
        <f t="shared" si="14"/>
        <v>0</v>
      </c>
      <c r="U274" s="238" t="e">
        <f>(VLOOKUP($P$9,Per_diem_table,1)*N274)-SUM((X274,Y274,Z274))</f>
        <v>#REF!</v>
      </c>
      <c r="V274" s="237" t="e">
        <f>IF(U274&lt;5,5,U274)</f>
        <v>#REF!</v>
      </c>
      <c r="X274" s="170">
        <f>IF(AND(N274=0.75,($O274="TRUE")),ABS('Per Diem Calc Tool'!$R274*0.75),IF($O274="TRUE",ABS('Per Diem Calc Tool'!$R274),""))</f>
      </c>
      <c r="Y274" s="170">
        <f>IF(AND(N274=0.75,($P274="TRUE")),ABS('Per Diem Calc Tool'!$S274*0.75),IF($P274="TRUE",ABS('Per Diem Calc Tool'!$S274),""))</f>
      </c>
      <c r="Z274" s="170">
        <f>IF(AND(N274=0.75,($Q274="TRUE")),ABS('Per Diem Calc Tool'!$T274*0.75),IF($Q274="TRUE",ABS('Per Diem Calc Tool'!$T274),""))</f>
      </c>
    </row>
    <row r="275" spans="12:26" ht="13.5">
      <c r="L275" s="188"/>
      <c r="N275" s="235"/>
      <c r="O275" s="236" t="str">
        <f t="shared" si="15"/>
        <v>FALSE</v>
      </c>
      <c r="P275" s="236"/>
      <c r="Q275" s="236"/>
      <c r="R275" s="237">
        <f aca="true" t="shared" si="16" ref="R275:R338">IF(O275="TRUE",-VLOOKUP($P$9,Per_diem_table,2),0)</f>
        <v>0</v>
      </c>
      <c r="S275" s="237">
        <f aca="true" t="shared" si="17" ref="S275:S338">IF(P275="TRUE",-VLOOKUP($P$9,Per_diem_table,3),0)</f>
        <v>0</v>
      </c>
      <c r="T275" s="237">
        <f aca="true" t="shared" si="18" ref="T275:T338">IF(Q275="TRUE",-VLOOKUP($P$9,Per_diem_table,4),0)</f>
        <v>0</v>
      </c>
      <c r="U275" s="238" t="e">
        <f>(VLOOKUP($P$9,Per_diem_table,1)*N275)-SUM((X275,Y275,Z275))</f>
        <v>#REF!</v>
      </c>
      <c r="V275" s="237"/>
      <c r="X275" s="170">
        <f>IF(AND(N275=0.75,($O275="TRUE")),ABS('Per Diem Calc Tool'!$R275*0.75),IF($O275="TRUE",ABS('Per Diem Calc Tool'!$R275),""))</f>
      </c>
      <c r="Y275" s="170">
        <f>IF(AND(N275=0.75,($P275="TRUE")),ABS('Per Diem Calc Tool'!$S275*0.75),IF($P275="TRUE",ABS('Per Diem Calc Tool'!$S275),""))</f>
      </c>
      <c r="Z275" s="170">
        <f>IF(AND(N275=0.75,($Q275="TRUE")),ABS('Per Diem Calc Tool'!$T275*0.75),IF($Q275="TRUE",ABS('Per Diem Calc Tool'!$T275),""))</f>
      </c>
    </row>
    <row r="276" spans="12:26" ht="13.5">
      <c r="L276" s="188"/>
      <c r="N276" s="235"/>
      <c r="O276" s="236" t="str">
        <f t="shared" si="15"/>
        <v>FALSE</v>
      </c>
      <c r="P276" s="236"/>
      <c r="Q276" s="236"/>
      <c r="R276" s="237">
        <f t="shared" si="16"/>
        <v>0</v>
      </c>
      <c r="S276" s="237">
        <f t="shared" si="17"/>
        <v>0</v>
      </c>
      <c r="T276" s="237">
        <f t="shared" si="18"/>
        <v>0</v>
      </c>
      <c r="U276" s="238" t="e">
        <f>(VLOOKUP($P$9,Per_diem_table,1)*N276)-SUM((X276,Y276,Z276))</f>
        <v>#REF!</v>
      </c>
      <c r="V276" s="237"/>
      <c r="X276" s="170">
        <f>IF(AND(N276=0.75,($O276="TRUE")),ABS('Per Diem Calc Tool'!$R276*0.75),IF($O276="TRUE",ABS('Per Diem Calc Tool'!$R276),""))</f>
      </c>
      <c r="Y276" s="170">
        <f>IF(AND(N276=0.75,($P276="TRUE")),ABS('Per Diem Calc Tool'!$S276*0.75),IF($P276="TRUE",ABS('Per Diem Calc Tool'!$S276),""))</f>
      </c>
      <c r="Z276" s="170">
        <f>IF(AND(N276=0.75,($Q276="TRUE")),ABS('Per Diem Calc Tool'!$T276*0.75),IF($Q276="TRUE",ABS('Per Diem Calc Tool'!$T276),""))</f>
      </c>
    </row>
    <row r="277" spans="12:26" ht="13.5">
      <c r="L277" s="188">
        <v>86</v>
      </c>
      <c r="M277" s="169" t="b">
        <f>+L277&lt;=$O$7</f>
        <v>0</v>
      </c>
      <c r="N277" s="235">
        <f>IF(L277=$O$7,0.75,1)</f>
        <v>1</v>
      </c>
      <c r="O277" s="236" t="str">
        <f>IF(B105="X","TRUE","FALSE")</f>
        <v>FALSE</v>
      </c>
      <c r="P277" s="236" t="str">
        <f>IF(C273="X","TRUE","FALSE")</f>
        <v>FALSE</v>
      </c>
      <c r="Q277" s="236" t="str">
        <f>IF(D273="X","TRUE","FALSE")</f>
        <v>FALSE</v>
      </c>
      <c r="R277" s="237">
        <f t="shared" si="16"/>
        <v>0</v>
      </c>
      <c r="S277" s="237">
        <f t="shared" si="17"/>
        <v>0</v>
      </c>
      <c r="T277" s="237">
        <f t="shared" si="18"/>
        <v>0</v>
      </c>
      <c r="U277" s="238" t="e">
        <f>(VLOOKUP($P$9,Per_diem_table,1)*N277)-SUM((X277,Y277,Z277))</f>
        <v>#REF!</v>
      </c>
      <c r="V277" s="237" t="e">
        <f>IF(U277&lt;5,5,U277)</f>
        <v>#REF!</v>
      </c>
      <c r="X277" s="170">
        <f>IF(AND(N277=0.75,($O277="TRUE")),ABS('Per Diem Calc Tool'!$R277*0.75),IF($O277="TRUE",ABS('Per Diem Calc Tool'!$R277),""))</f>
      </c>
      <c r="Y277" s="170">
        <f>IF(AND(N277=0.75,($P277="TRUE")),ABS('Per Diem Calc Tool'!$S277*0.75),IF($P277="TRUE",ABS('Per Diem Calc Tool'!$S277),""))</f>
      </c>
      <c r="Z277" s="170">
        <f>IF(AND(N277=0.75,($Q277="TRUE")),ABS('Per Diem Calc Tool'!$T277*0.75),IF($Q277="TRUE",ABS('Per Diem Calc Tool'!$T277),""))</f>
      </c>
    </row>
    <row r="278" spans="12:26" ht="13.5">
      <c r="L278" s="188"/>
      <c r="N278" s="235"/>
      <c r="O278" s="236" t="str">
        <f aca="true" t="shared" si="19" ref="O278:O341">IF(B278="X","TRUE","FALSE")</f>
        <v>FALSE</v>
      </c>
      <c r="P278" s="236"/>
      <c r="Q278" s="236"/>
      <c r="R278" s="237">
        <f t="shared" si="16"/>
        <v>0</v>
      </c>
      <c r="S278" s="237">
        <f t="shared" si="17"/>
        <v>0</v>
      </c>
      <c r="T278" s="237">
        <f t="shared" si="18"/>
        <v>0</v>
      </c>
      <c r="U278" s="238" t="e">
        <f>(VLOOKUP($P$9,Per_diem_table,1)*N278)-SUM((X278,Y278,Z278))</f>
        <v>#REF!</v>
      </c>
      <c r="V278" s="237"/>
      <c r="X278" s="170">
        <f>IF(AND(N278=0.75,($O278="TRUE")),ABS('Per Diem Calc Tool'!$R278*0.75),IF($O278="TRUE",ABS('Per Diem Calc Tool'!$R278),""))</f>
      </c>
      <c r="Y278" s="170">
        <f>IF(AND(N278=0.75,($P278="TRUE")),ABS('Per Diem Calc Tool'!$S278*0.75),IF($P278="TRUE",ABS('Per Diem Calc Tool'!$S278),""))</f>
      </c>
      <c r="Z278" s="170">
        <f>IF(AND(N278=0.75,($Q278="TRUE")),ABS('Per Diem Calc Tool'!$T278*0.75),IF($Q278="TRUE",ABS('Per Diem Calc Tool'!$T278),""))</f>
      </c>
    </row>
    <row r="279" spans="12:26" ht="13.5">
      <c r="L279" s="188"/>
      <c r="N279" s="235"/>
      <c r="O279" s="236" t="str">
        <f t="shared" si="19"/>
        <v>FALSE</v>
      </c>
      <c r="P279" s="236"/>
      <c r="Q279" s="236"/>
      <c r="R279" s="237">
        <f t="shared" si="16"/>
        <v>0</v>
      </c>
      <c r="S279" s="237">
        <f t="shared" si="17"/>
        <v>0</v>
      </c>
      <c r="T279" s="237">
        <f t="shared" si="18"/>
        <v>0</v>
      </c>
      <c r="U279" s="238" t="e">
        <f>(VLOOKUP($P$9,Per_diem_table,1)*N279)-SUM((X279,Y279,Z279))</f>
        <v>#REF!</v>
      </c>
      <c r="V279" s="237"/>
      <c r="X279" s="170">
        <f>IF(AND(N279=0.75,($O279="TRUE")),ABS('Per Diem Calc Tool'!$R279*0.75),IF($O279="TRUE",ABS('Per Diem Calc Tool'!$R279),""))</f>
      </c>
      <c r="Y279" s="170">
        <f>IF(AND(N279=0.75,($P279="TRUE")),ABS('Per Diem Calc Tool'!$S279*0.75),IF($P279="TRUE",ABS('Per Diem Calc Tool'!$S279),""))</f>
      </c>
      <c r="Z279" s="170">
        <f>IF(AND(N279=0.75,($Q279="TRUE")),ABS('Per Diem Calc Tool'!$T279*0.75),IF($Q279="TRUE",ABS('Per Diem Calc Tool'!$T279),""))</f>
      </c>
    </row>
    <row r="280" spans="12:26" ht="13.5">
      <c r="L280" s="188">
        <v>87</v>
      </c>
      <c r="M280" s="169" t="b">
        <f>+L280&lt;=$O$7</f>
        <v>0</v>
      </c>
      <c r="N280" s="235">
        <f>IF(L280=$O$7,0.75,1)</f>
        <v>1</v>
      </c>
      <c r="O280" s="236" t="str">
        <f>IF(B106="X","TRUE","FALSE")</f>
        <v>FALSE</v>
      </c>
      <c r="P280" s="236" t="str">
        <f>IF(C280="X","TRUE","FALSE")</f>
        <v>FALSE</v>
      </c>
      <c r="Q280" s="236" t="str">
        <f>IF(D280="X","TRUE","FALSE")</f>
        <v>FALSE</v>
      </c>
      <c r="R280" s="237">
        <f t="shared" si="16"/>
        <v>0</v>
      </c>
      <c r="S280" s="237">
        <f t="shared" si="17"/>
        <v>0</v>
      </c>
      <c r="T280" s="237">
        <f t="shared" si="18"/>
        <v>0</v>
      </c>
      <c r="U280" s="238" t="e">
        <f>(VLOOKUP($P$9,Per_diem_table,1)*N280)-SUM((X280,Y280,Z280))</f>
        <v>#REF!</v>
      </c>
      <c r="V280" s="237" t="e">
        <f>IF(U280&lt;5,5,U280)</f>
        <v>#REF!</v>
      </c>
      <c r="X280" s="170">
        <f>IF(AND(N280=0.75,($O280="TRUE")),ABS('Per Diem Calc Tool'!$R280*0.75),IF($O280="TRUE",ABS('Per Diem Calc Tool'!$R280),""))</f>
      </c>
      <c r="Y280" s="170">
        <f>IF(AND(N280=0.75,($P280="TRUE")),ABS('Per Diem Calc Tool'!$S280*0.75),IF($P280="TRUE",ABS('Per Diem Calc Tool'!$S280),""))</f>
      </c>
      <c r="Z280" s="170">
        <f>IF(AND(N280=0.75,($Q280="TRUE")),ABS('Per Diem Calc Tool'!$T280*0.75),IF($Q280="TRUE",ABS('Per Diem Calc Tool'!$T280),""))</f>
      </c>
    </row>
    <row r="281" spans="12:26" ht="13.5">
      <c r="L281" s="188"/>
      <c r="N281" s="235"/>
      <c r="O281" s="236" t="str">
        <f t="shared" si="19"/>
        <v>FALSE</v>
      </c>
      <c r="P281" s="236"/>
      <c r="Q281" s="236"/>
      <c r="R281" s="237">
        <f t="shared" si="16"/>
        <v>0</v>
      </c>
      <c r="S281" s="237">
        <f t="shared" si="17"/>
        <v>0</v>
      </c>
      <c r="T281" s="237">
        <f t="shared" si="18"/>
        <v>0</v>
      </c>
      <c r="U281" s="238" t="e">
        <f>(VLOOKUP($P$9,Per_diem_table,1)*N281)-SUM((X281,Y281,Z281))</f>
        <v>#REF!</v>
      </c>
      <c r="V281" s="237"/>
      <c r="X281" s="170">
        <f>IF(AND(N281=0.75,($O281="TRUE")),ABS('Per Diem Calc Tool'!$R281*0.75),IF($O281="TRUE",ABS('Per Diem Calc Tool'!$R281),""))</f>
      </c>
      <c r="Y281" s="170">
        <f>IF(AND(N281=0.75,($P281="TRUE")),ABS('Per Diem Calc Tool'!$S281*0.75),IF($P281="TRUE",ABS('Per Diem Calc Tool'!$S281),""))</f>
      </c>
      <c r="Z281" s="170">
        <f>IF(AND(N281=0.75,($Q281="TRUE")),ABS('Per Diem Calc Tool'!$T281*0.75),IF($Q281="TRUE",ABS('Per Diem Calc Tool'!$T281),""))</f>
      </c>
    </row>
    <row r="282" spans="12:26" ht="13.5">
      <c r="L282" s="188"/>
      <c r="N282" s="235"/>
      <c r="O282" s="236" t="str">
        <f t="shared" si="19"/>
        <v>FALSE</v>
      </c>
      <c r="P282" s="236"/>
      <c r="Q282" s="236"/>
      <c r="R282" s="237">
        <f t="shared" si="16"/>
        <v>0</v>
      </c>
      <c r="S282" s="237">
        <f t="shared" si="17"/>
        <v>0</v>
      </c>
      <c r="T282" s="237">
        <f t="shared" si="18"/>
        <v>0</v>
      </c>
      <c r="U282" s="238" t="e">
        <f>(VLOOKUP($P$9,Per_diem_table,1)*N282)-SUM((X282,Y282,Z282))</f>
        <v>#REF!</v>
      </c>
      <c r="V282" s="237"/>
      <c r="X282" s="170">
        <f>IF(AND(N282=0.75,($O282="TRUE")),ABS('Per Diem Calc Tool'!$R282*0.75),IF($O282="TRUE",ABS('Per Diem Calc Tool'!$R282),""))</f>
      </c>
      <c r="Y282" s="170">
        <f>IF(AND(N282=0.75,($P282="TRUE")),ABS('Per Diem Calc Tool'!$S282*0.75),IF($P282="TRUE",ABS('Per Diem Calc Tool'!$S282),""))</f>
      </c>
      <c r="Z282" s="170">
        <f>IF(AND(N282=0.75,($Q282="TRUE")),ABS('Per Diem Calc Tool'!$T282*0.75),IF($Q282="TRUE",ABS('Per Diem Calc Tool'!$T282),""))</f>
      </c>
    </row>
    <row r="283" spans="12:26" ht="13.5">
      <c r="L283" s="188">
        <v>88</v>
      </c>
      <c r="M283" s="169" t="b">
        <f>+L283&lt;=$O$7</f>
        <v>0</v>
      </c>
      <c r="N283" s="235">
        <f>IF(L283=$O$7,0.75,1)</f>
        <v>1</v>
      </c>
      <c r="O283" s="236" t="str">
        <f>IF(B107="X","TRUE","FALSE")</f>
        <v>FALSE</v>
      </c>
      <c r="P283" s="236" t="str">
        <f>IF(C281="X","TRUE","FALSE")</f>
        <v>FALSE</v>
      </c>
      <c r="Q283" s="236" t="str">
        <f>IF(D281="X","TRUE","FALSE")</f>
        <v>FALSE</v>
      </c>
      <c r="R283" s="237">
        <f t="shared" si="16"/>
        <v>0</v>
      </c>
      <c r="S283" s="237">
        <f t="shared" si="17"/>
        <v>0</v>
      </c>
      <c r="T283" s="237">
        <f t="shared" si="18"/>
        <v>0</v>
      </c>
      <c r="U283" s="238" t="e">
        <f>(VLOOKUP($P$9,Per_diem_table,1)*N283)-SUM((X283,Y283,Z283))</f>
        <v>#REF!</v>
      </c>
      <c r="V283" s="237" t="e">
        <f>IF(U283&lt;5,5,U283)</f>
        <v>#REF!</v>
      </c>
      <c r="X283" s="170">
        <f>IF(AND(N283=0.75,($O283="TRUE")),ABS('Per Diem Calc Tool'!$R283*0.75),IF($O283="TRUE",ABS('Per Diem Calc Tool'!$R283),""))</f>
      </c>
      <c r="Y283" s="170">
        <f>IF(AND(N283=0.75,($P283="TRUE")),ABS('Per Diem Calc Tool'!$S283*0.75),IF($P283="TRUE",ABS('Per Diem Calc Tool'!$S283),""))</f>
      </c>
      <c r="Z283" s="170">
        <f>IF(AND(N283=0.75,($Q283="TRUE")),ABS('Per Diem Calc Tool'!$T283*0.75),IF($Q283="TRUE",ABS('Per Diem Calc Tool'!$T283),""))</f>
      </c>
    </row>
    <row r="284" spans="12:26" ht="13.5">
      <c r="L284" s="188"/>
      <c r="N284" s="235"/>
      <c r="O284" s="236" t="str">
        <f t="shared" si="19"/>
        <v>FALSE</v>
      </c>
      <c r="P284" s="236"/>
      <c r="Q284" s="236"/>
      <c r="R284" s="237">
        <f t="shared" si="16"/>
        <v>0</v>
      </c>
      <c r="S284" s="237">
        <f t="shared" si="17"/>
        <v>0</v>
      </c>
      <c r="T284" s="237">
        <f t="shared" si="18"/>
        <v>0</v>
      </c>
      <c r="U284" s="238" t="e">
        <f>(VLOOKUP($P$9,Per_diem_table,1)*N284)-SUM((X284,Y284,Z284))</f>
        <v>#REF!</v>
      </c>
      <c r="V284" s="237"/>
      <c r="X284" s="170">
        <f>IF(AND(N284=0.75,($O284="TRUE")),ABS('Per Diem Calc Tool'!$R284*0.75),IF($O284="TRUE",ABS('Per Diem Calc Tool'!$R284),""))</f>
      </c>
      <c r="Y284" s="170">
        <f>IF(AND(N284=0.75,($P284="TRUE")),ABS('Per Diem Calc Tool'!$S284*0.75),IF($P284="TRUE",ABS('Per Diem Calc Tool'!$S284),""))</f>
      </c>
      <c r="Z284" s="170">
        <f>IF(AND(N284=0.75,($Q284="TRUE")),ABS('Per Diem Calc Tool'!$T284*0.75),IF($Q284="TRUE",ABS('Per Diem Calc Tool'!$T284),""))</f>
      </c>
    </row>
    <row r="285" spans="12:26" ht="13.5">
      <c r="L285" s="188"/>
      <c r="N285" s="235"/>
      <c r="O285" s="236" t="str">
        <f t="shared" si="19"/>
        <v>FALSE</v>
      </c>
      <c r="P285" s="236"/>
      <c r="Q285" s="236"/>
      <c r="R285" s="237">
        <f t="shared" si="16"/>
        <v>0</v>
      </c>
      <c r="S285" s="237">
        <f t="shared" si="17"/>
        <v>0</v>
      </c>
      <c r="T285" s="237">
        <f t="shared" si="18"/>
        <v>0</v>
      </c>
      <c r="U285" s="238" t="e">
        <f>(VLOOKUP($P$9,Per_diem_table,1)*N285)-SUM((X285,Y285,Z285))</f>
        <v>#REF!</v>
      </c>
      <c r="V285" s="237"/>
      <c r="X285" s="170">
        <f>IF(AND(N285=0.75,($O285="TRUE")),ABS('Per Diem Calc Tool'!$R285*0.75),IF($O285="TRUE",ABS('Per Diem Calc Tool'!$R285),""))</f>
      </c>
      <c r="Y285" s="170">
        <f>IF(AND(N285=0.75,($P285="TRUE")),ABS('Per Diem Calc Tool'!$S285*0.75),IF($P285="TRUE",ABS('Per Diem Calc Tool'!$S285),""))</f>
      </c>
      <c r="Z285" s="170">
        <f>IF(AND(N285=0.75,($Q285="TRUE")),ABS('Per Diem Calc Tool'!$T285*0.75),IF($Q285="TRUE",ABS('Per Diem Calc Tool'!$T285),""))</f>
      </c>
    </row>
    <row r="286" spans="12:26" ht="13.5">
      <c r="L286" s="188">
        <v>89</v>
      </c>
      <c r="M286" s="169" t="b">
        <f>+L286&lt;=$O$7</f>
        <v>0</v>
      </c>
      <c r="N286" s="235">
        <f>IF(L286=$O$7,0.75,1)</f>
        <v>1</v>
      </c>
      <c r="O286" s="236" t="str">
        <f>IF(B108="X","TRUE","FALSE")</f>
        <v>FALSE</v>
      </c>
      <c r="P286" s="236" t="str">
        <f>IF(C282="X","TRUE","FALSE")</f>
        <v>FALSE</v>
      </c>
      <c r="Q286" s="236" t="str">
        <f>IF(D282="X","TRUE","FALSE")</f>
        <v>FALSE</v>
      </c>
      <c r="R286" s="237">
        <f t="shared" si="16"/>
        <v>0</v>
      </c>
      <c r="S286" s="237">
        <f t="shared" si="17"/>
        <v>0</v>
      </c>
      <c r="T286" s="237">
        <f t="shared" si="18"/>
        <v>0</v>
      </c>
      <c r="U286" s="238" t="e">
        <f>(VLOOKUP($P$9,Per_diem_table,1)*N286)-SUM((X286,Y286,Z286))</f>
        <v>#REF!</v>
      </c>
      <c r="V286" s="237" t="e">
        <f>IF(U286&lt;5,5,U286)</f>
        <v>#REF!</v>
      </c>
      <c r="X286" s="170">
        <f>IF(AND(N286=0.75,($O286="TRUE")),ABS('Per Diem Calc Tool'!$R286*0.75),IF($O286="TRUE",ABS('Per Diem Calc Tool'!$R286),""))</f>
      </c>
      <c r="Y286" s="170">
        <f>IF(AND(N286=0.75,($P286="TRUE")),ABS('Per Diem Calc Tool'!$S286*0.75),IF($P286="TRUE",ABS('Per Diem Calc Tool'!$S286),""))</f>
      </c>
      <c r="Z286" s="170">
        <f>IF(AND(N286=0.75,($Q286="TRUE")),ABS('Per Diem Calc Tool'!$T286*0.75),IF($Q286="TRUE",ABS('Per Diem Calc Tool'!$T286),""))</f>
      </c>
    </row>
    <row r="287" spans="12:26" ht="13.5">
      <c r="L287" s="188"/>
      <c r="N287" s="235"/>
      <c r="O287" s="236" t="str">
        <f t="shared" si="19"/>
        <v>FALSE</v>
      </c>
      <c r="P287" s="236"/>
      <c r="Q287" s="236"/>
      <c r="R287" s="237">
        <f t="shared" si="16"/>
        <v>0</v>
      </c>
      <c r="S287" s="237">
        <f t="shared" si="17"/>
        <v>0</v>
      </c>
      <c r="T287" s="237">
        <f t="shared" si="18"/>
        <v>0</v>
      </c>
      <c r="U287" s="238" t="e">
        <f>(VLOOKUP($P$9,Per_diem_table,1)*N287)-SUM((X287,Y287,Z287))</f>
        <v>#REF!</v>
      </c>
      <c r="V287" s="237"/>
      <c r="X287" s="170">
        <f>IF(AND(N287=0.75,($O287="TRUE")),ABS('Per Diem Calc Tool'!$R287*0.75),IF($O287="TRUE",ABS('Per Diem Calc Tool'!$R287),""))</f>
      </c>
      <c r="Y287" s="170">
        <f>IF(AND(N287=0.75,($P287="TRUE")),ABS('Per Diem Calc Tool'!$S287*0.75),IF($P287="TRUE",ABS('Per Diem Calc Tool'!$S287),""))</f>
      </c>
      <c r="Z287" s="170">
        <f>IF(AND(N287=0.75,($Q287="TRUE")),ABS('Per Diem Calc Tool'!$T287*0.75),IF($Q287="TRUE",ABS('Per Diem Calc Tool'!$T287),""))</f>
      </c>
    </row>
    <row r="288" spans="12:26" ht="13.5">
      <c r="L288" s="188"/>
      <c r="N288" s="235"/>
      <c r="O288" s="236" t="str">
        <f t="shared" si="19"/>
        <v>FALSE</v>
      </c>
      <c r="P288" s="236"/>
      <c r="Q288" s="236"/>
      <c r="R288" s="237">
        <f t="shared" si="16"/>
        <v>0</v>
      </c>
      <c r="S288" s="237">
        <f t="shared" si="17"/>
        <v>0</v>
      </c>
      <c r="T288" s="237">
        <f t="shared" si="18"/>
        <v>0</v>
      </c>
      <c r="U288" s="238" t="e">
        <f>(VLOOKUP($P$9,Per_diem_table,1)*N288)-SUM((X288,Y288,Z288))</f>
        <v>#REF!</v>
      </c>
      <c r="V288" s="237"/>
      <c r="X288" s="170">
        <f>IF(AND(N288=0.75,($O288="TRUE")),ABS('Per Diem Calc Tool'!$R288*0.75),IF($O288="TRUE",ABS('Per Diem Calc Tool'!$R288),""))</f>
      </c>
      <c r="Y288" s="170">
        <f>IF(AND(N288=0.75,($P288="TRUE")),ABS('Per Diem Calc Tool'!$S288*0.75),IF($P288="TRUE",ABS('Per Diem Calc Tool'!$S288),""))</f>
      </c>
      <c r="Z288" s="170">
        <f>IF(AND(N288=0.75,($Q288="TRUE")),ABS('Per Diem Calc Tool'!$T288*0.75),IF($Q288="TRUE",ABS('Per Diem Calc Tool'!$T288),""))</f>
      </c>
    </row>
    <row r="289" spans="12:26" ht="13.5">
      <c r="L289" s="188">
        <v>90</v>
      </c>
      <c r="M289" s="169" t="b">
        <f>+L289&lt;=$O$7</f>
        <v>0</v>
      </c>
      <c r="N289" s="235">
        <f>IF(L289=$O$7,0.75,1)</f>
        <v>1</v>
      </c>
      <c r="O289" s="236" t="str">
        <f>IF(B109="X","TRUE","FALSE")</f>
        <v>FALSE</v>
      </c>
      <c r="P289" s="236" t="str">
        <f>IF(C289="X","TRUE","FALSE")</f>
        <v>FALSE</v>
      </c>
      <c r="Q289" s="236" t="str">
        <f>IF(D289="X","TRUE","FALSE")</f>
        <v>FALSE</v>
      </c>
      <c r="R289" s="237">
        <f t="shared" si="16"/>
        <v>0</v>
      </c>
      <c r="S289" s="237">
        <f t="shared" si="17"/>
        <v>0</v>
      </c>
      <c r="T289" s="237">
        <f t="shared" si="18"/>
        <v>0</v>
      </c>
      <c r="U289" s="238" t="e">
        <f>(VLOOKUP($P$9,Per_diem_table,1)*N289)-SUM((X289,Y289,Z289))</f>
        <v>#REF!</v>
      </c>
      <c r="V289" s="237" t="e">
        <f>IF(U289&lt;5,5,U289)</f>
        <v>#REF!</v>
      </c>
      <c r="X289" s="170">
        <f>IF(AND(N289=0.75,($O289="TRUE")),ABS('Per Diem Calc Tool'!$R289*0.75),IF($O289="TRUE",ABS('Per Diem Calc Tool'!$R289),""))</f>
      </c>
      <c r="Y289" s="170">
        <f>IF(AND(N289=0.75,($P289="TRUE")),ABS('Per Diem Calc Tool'!$S289*0.75),IF($P289="TRUE",ABS('Per Diem Calc Tool'!$S289),""))</f>
      </c>
      <c r="Z289" s="170">
        <f>IF(AND(N289=0.75,($Q289="TRUE")),ABS('Per Diem Calc Tool'!$T289*0.75),IF($Q289="TRUE",ABS('Per Diem Calc Tool'!$T289),""))</f>
      </c>
    </row>
    <row r="290" spans="12:26" ht="13.5">
      <c r="L290" s="188"/>
      <c r="N290" s="235"/>
      <c r="O290" s="236" t="str">
        <f t="shared" si="19"/>
        <v>FALSE</v>
      </c>
      <c r="P290" s="236"/>
      <c r="Q290" s="236"/>
      <c r="R290" s="237">
        <f t="shared" si="16"/>
        <v>0</v>
      </c>
      <c r="S290" s="237">
        <f t="shared" si="17"/>
        <v>0</v>
      </c>
      <c r="T290" s="237">
        <f t="shared" si="18"/>
        <v>0</v>
      </c>
      <c r="U290" s="238" t="e">
        <f>(VLOOKUP($P$9,Per_diem_table,1)*N290)-SUM((X290,Y290,Z290))</f>
        <v>#REF!</v>
      </c>
      <c r="V290" s="237"/>
      <c r="X290" s="170">
        <f>IF(AND(N290=0.75,($O290="TRUE")),ABS('Per Diem Calc Tool'!$R290*0.75),IF($O290="TRUE",ABS('Per Diem Calc Tool'!$R290),""))</f>
      </c>
      <c r="Y290" s="170">
        <f>IF(AND(N290=0.75,($P290="TRUE")),ABS('Per Diem Calc Tool'!$S290*0.75),IF($P290="TRUE",ABS('Per Diem Calc Tool'!$S290),""))</f>
      </c>
      <c r="Z290" s="170">
        <f>IF(AND(N290=0.75,($Q290="TRUE")),ABS('Per Diem Calc Tool'!$T290*0.75),IF($Q290="TRUE",ABS('Per Diem Calc Tool'!$T290),""))</f>
      </c>
    </row>
    <row r="291" spans="12:26" ht="13.5">
      <c r="L291" s="188"/>
      <c r="N291" s="235"/>
      <c r="O291" s="236" t="str">
        <f t="shared" si="19"/>
        <v>FALSE</v>
      </c>
      <c r="P291" s="236"/>
      <c r="Q291" s="236"/>
      <c r="R291" s="237">
        <f t="shared" si="16"/>
        <v>0</v>
      </c>
      <c r="S291" s="237">
        <f t="shared" si="17"/>
        <v>0</v>
      </c>
      <c r="T291" s="237">
        <f t="shared" si="18"/>
        <v>0</v>
      </c>
      <c r="U291" s="238" t="e">
        <f>(VLOOKUP($P$9,Per_diem_table,1)*N291)-SUM((X291,Y291,Z291))</f>
        <v>#REF!</v>
      </c>
      <c r="V291" s="237"/>
      <c r="X291" s="170">
        <f>IF(AND(N291=0.75,($O291="TRUE")),ABS('Per Diem Calc Tool'!$R291*0.75),IF($O291="TRUE",ABS('Per Diem Calc Tool'!$R291),""))</f>
      </c>
      <c r="Y291" s="170">
        <f>IF(AND(N291=0.75,($P291="TRUE")),ABS('Per Diem Calc Tool'!$S291*0.75),IF($P291="TRUE",ABS('Per Diem Calc Tool'!$S291),""))</f>
      </c>
      <c r="Z291" s="170">
        <f>IF(AND(N291=0.75,($Q291="TRUE")),ABS('Per Diem Calc Tool'!$T291*0.75),IF($Q291="TRUE",ABS('Per Diem Calc Tool'!$T291),""))</f>
      </c>
    </row>
    <row r="292" spans="12:26" ht="13.5">
      <c r="L292" s="188">
        <v>91</v>
      </c>
      <c r="M292" s="169" t="b">
        <f>+L292&lt;=$O$7</f>
        <v>0</v>
      </c>
      <c r="N292" s="235">
        <f>IF(L292=$O$7,0.75,1)</f>
        <v>1</v>
      </c>
      <c r="O292" s="236" t="str">
        <f>IF(B110="X","TRUE","FALSE")</f>
        <v>FALSE</v>
      </c>
      <c r="P292" s="236" t="str">
        <f>IF(C290="X","TRUE","FALSE")</f>
        <v>FALSE</v>
      </c>
      <c r="Q292" s="236" t="str">
        <f>IF(D290="X","TRUE","FALSE")</f>
        <v>FALSE</v>
      </c>
      <c r="R292" s="237">
        <f t="shared" si="16"/>
        <v>0</v>
      </c>
      <c r="S292" s="237">
        <f t="shared" si="17"/>
        <v>0</v>
      </c>
      <c r="T292" s="237">
        <f t="shared" si="18"/>
        <v>0</v>
      </c>
      <c r="U292" s="238" t="e">
        <f>(VLOOKUP($P$9,Per_diem_table,1)*N292)-SUM((X292,Y292,Z292))</f>
        <v>#REF!</v>
      </c>
      <c r="V292" s="237" t="e">
        <f>IF(U292&lt;5,5,U292)</f>
        <v>#REF!</v>
      </c>
      <c r="X292" s="170">
        <f>IF(AND(N292=0.75,($O292="TRUE")),ABS('Per Diem Calc Tool'!$R292*0.75),IF($O292="TRUE",ABS('Per Diem Calc Tool'!$R292),""))</f>
      </c>
      <c r="Y292" s="170">
        <f>IF(AND(N292=0.75,($P292="TRUE")),ABS('Per Diem Calc Tool'!$S292*0.75),IF($P292="TRUE",ABS('Per Diem Calc Tool'!$S292),""))</f>
      </c>
      <c r="Z292" s="170">
        <f>IF(AND(N292=0.75,($Q292="TRUE")),ABS('Per Diem Calc Tool'!$T292*0.75),IF($Q292="TRUE",ABS('Per Diem Calc Tool'!$T292),""))</f>
      </c>
    </row>
    <row r="293" spans="12:26" ht="13.5">
      <c r="L293" s="188"/>
      <c r="N293" s="235"/>
      <c r="O293" s="236" t="str">
        <f t="shared" si="19"/>
        <v>FALSE</v>
      </c>
      <c r="P293" s="236"/>
      <c r="Q293" s="236"/>
      <c r="R293" s="237">
        <f t="shared" si="16"/>
        <v>0</v>
      </c>
      <c r="S293" s="237">
        <f t="shared" si="17"/>
        <v>0</v>
      </c>
      <c r="T293" s="237">
        <f t="shared" si="18"/>
        <v>0</v>
      </c>
      <c r="U293" s="238" t="e">
        <f>(VLOOKUP($P$9,Per_diem_table,1)*N293)-SUM((X293,Y293,Z293))</f>
        <v>#REF!</v>
      </c>
      <c r="V293" s="237"/>
      <c r="X293" s="170">
        <f>IF(AND(N293=0.75,($O293="TRUE")),ABS('Per Diem Calc Tool'!$R293*0.75),IF($O293="TRUE",ABS('Per Diem Calc Tool'!$R293),""))</f>
      </c>
      <c r="Y293" s="170">
        <f>IF(AND(N293=0.75,($P293="TRUE")),ABS('Per Diem Calc Tool'!$S293*0.75),IF($P293="TRUE",ABS('Per Diem Calc Tool'!$S293),""))</f>
      </c>
      <c r="Z293" s="170">
        <f>IF(AND(N293=0.75,($Q293="TRUE")),ABS('Per Diem Calc Tool'!$T293*0.75),IF($Q293="TRUE",ABS('Per Diem Calc Tool'!$T293),""))</f>
      </c>
    </row>
    <row r="294" spans="12:26" ht="13.5">
      <c r="L294" s="188"/>
      <c r="N294" s="235"/>
      <c r="O294" s="236" t="str">
        <f t="shared" si="19"/>
        <v>FALSE</v>
      </c>
      <c r="P294" s="236"/>
      <c r="Q294" s="236"/>
      <c r="R294" s="237">
        <f t="shared" si="16"/>
        <v>0</v>
      </c>
      <c r="S294" s="237">
        <f t="shared" si="17"/>
        <v>0</v>
      </c>
      <c r="T294" s="237">
        <f t="shared" si="18"/>
        <v>0</v>
      </c>
      <c r="U294" s="238" t="e">
        <f>(VLOOKUP($P$9,Per_diem_table,1)*N294)-SUM((X294,Y294,Z294))</f>
        <v>#REF!</v>
      </c>
      <c r="V294" s="237"/>
      <c r="X294" s="170">
        <f>IF(AND(N294=0.75,($O294="TRUE")),ABS('Per Diem Calc Tool'!$R294*0.75),IF($O294="TRUE",ABS('Per Diem Calc Tool'!$R294),""))</f>
      </c>
      <c r="Y294" s="170">
        <f>IF(AND(N294=0.75,($P294="TRUE")),ABS('Per Diem Calc Tool'!$S294*0.75),IF($P294="TRUE",ABS('Per Diem Calc Tool'!$S294),""))</f>
      </c>
      <c r="Z294" s="170">
        <f>IF(AND(N294=0.75,($Q294="TRUE")),ABS('Per Diem Calc Tool'!$T294*0.75),IF($Q294="TRUE",ABS('Per Diem Calc Tool'!$T294),""))</f>
      </c>
    </row>
    <row r="295" spans="12:26" ht="13.5">
      <c r="L295" s="188">
        <v>92</v>
      </c>
      <c r="M295" s="169" t="b">
        <f>+L295&lt;=$O$7</f>
        <v>0</v>
      </c>
      <c r="N295" s="235">
        <f>IF(L295=$O$7,0.75,1)</f>
        <v>1</v>
      </c>
      <c r="O295" s="236" t="str">
        <f>IF(B111="X","TRUE","FALSE")</f>
        <v>FALSE</v>
      </c>
      <c r="P295" s="236" t="str">
        <f>IF(C291="X","TRUE","FALSE")</f>
        <v>FALSE</v>
      </c>
      <c r="Q295" s="236" t="str">
        <f>IF(D291="X","TRUE","FALSE")</f>
        <v>FALSE</v>
      </c>
      <c r="R295" s="237">
        <f t="shared" si="16"/>
        <v>0</v>
      </c>
      <c r="S295" s="237">
        <f t="shared" si="17"/>
        <v>0</v>
      </c>
      <c r="T295" s="237">
        <f t="shared" si="18"/>
        <v>0</v>
      </c>
      <c r="U295" s="238" t="e">
        <f>(VLOOKUP($P$9,Per_diem_table,1)*N295)-SUM((X295,Y295,Z295))</f>
        <v>#REF!</v>
      </c>
      <c r="V295" s="237" t="e">
        <f>IF(U295&lt;5,5,U295)</f>
        <v>#REF!</v>
      </c>
      <c r="X295" s="170">
        <f>IF(AND(N295=0.75,($O295="TRUE")),ABS('Per Diem Calc Tool'!$R295*0.75),IF($O295="TRUE",ABS('Per Diem Calc Tool'!$R295),""))</f>
      </c>
      <c r="Y295" s="170">
        <f>IF(AND(N295=0.75,($P295="TRUE")),ABS('Per Diem Calc Tool'!$S295*0.75),IF($P295="TRUE",ABS('Per Diem Calc Tool'!$S295),""))</f>
      </c>
      <c r="Z295" s="170">
        <f>IF(AND(N295=0.75,($Q295="TRUE")),ABS('Per Diem Calc Tool'!$T295*0.75),IF($Q295="TRUE",ABS('Per Diem Calc Tool'!$T295),""))</f>
      </c>
    </row>
    <row r="296" spans="12:26" ht="13.5">
      <c r="L296" s="188"/>
      <c r="N296" s="235"/>
      <c r="O296" s="236" t="str">
        <f t="shared" si="19"/>
        <v>FALSE</v>
      </c>
      <c r="P296" s="236"/>
      <c r="Q296" s="236"/>
      <c r="R296" s="237">
        <f t="shared" si="16"/>
        <v>0</v>
      </c>
      <c r="S296" s="237">
        <f t="shared" si="17"/>
        <v>0</v>
      </c>
      <c r="T296" s="237">
        <f t="shared" si="18"/>
        <v>0</v>
      </c>
      <c r="U296" s="238" t="e">
        <f>(VLOOKUP($P$9,Per_diem_table,1)*N296)-SUM((X296,Y296,Z296))</f>
        <v>#REF!</v>
      </c>
      <c r="V296" s="237"/>
      <c r="X296" s="170">
        <f>IF(AND(N296=0.75,($O296="TRUE")),ABS('Per Diem Calc Tool'!$R296*0.75),IF($O296="TRUE",ABS('Per Diem Calc Tool'!$R296),""))</f>
      </c>
      <c r="Y296" s="170">
        <f>IF(AND(N296=0.75,($P296="TRUE")),ABS('Per Diem Calc Tool'!$S296*0.75),IF($P296="TRUE",ABS('Per Diem Calc Tool'!$S296),""))</f>
      </c>
      <c r="Z296" s="170">
        <f>IF(AND(N296=0.75,($Q296="TRUE")),ABS('Per Diem Calc Tool'!$T296*0.75),IF($Q296="TRUE",ABS('Per Diem Calc Tool'!$T296),""))</f>
      </c>
    </row>
    <row r="297" spans="12:26" ht="13.5">
      <c r="L297" s="188"/>
      <c r="N297" s="235"/>
      <c r="O297" s="236" t="str">
        <f t="shared" si="19"/>
        <v>FALSE</v>
      </c>
      <c r="P297" s="236"/>
      <c r="Q297" s="236"/>
      <c r="R297" s="237">
        <f t="shared" si="16"/>
        <v>0</v>
      </c>
      <c r="S297" s="237">
        <f t="shared" si="17"/>
        <v>0</v>
      </c>
      <c r="T297" s="237">
        <f t="shared" si="18"/>
        <v>0</v>
      </c>
      <c r="U297" s="238" t="e">
        <f>(VLOOKUP($P$9,Per_diem_table,1)*N297)-SUM((X297,Y297,Z297))</f>
        <v>#REF!</v>
      </c>
      <c r="V297" s="237"/>
      <c r="X297" s="170">
        <f>IF(AND(N297=0.75,($O297="TRUE")),ABS('Per Diem Calc Tool'!$R297*0.75),IF($O297="TRUE",ABS('Per Diem Calc Tool'!$R297),""))</f>
      </c>
      <c r="Y297" s="170">
        <f>IF(AND(N297=0.75,($P297="TRUE")),ABS('Per Diem Calc Tool'!$S297*0.75),IF($P297="TRUE",ABS('Per Diem Calc Tool'!$S297),""))</f>
      </c>
      <c r="Z297" s="170">
        <f>IF(AND(N297=0.75,($Q297="TRUE")),ABS('Per Diem Calc Tool'!$T297*0.75),IF($Q297="TRUE",ABS('Per Diem Calc Tool'!$T297),""))</f>
      </c>
    </row>
    <row r="298" spans="12:26" ht="13.5">
      <c r="L298" s="188">
        <v>93</v>
      </c>
      <c r="M298" s="169" t="b">
        <f>+L298&lt;=$O$7</f>
        <v>0</v>
      </c>
      <c r="N298" s="235">
        <f>IF(L298=$O$7,0.75,1)</f>
        <v>1</v>
      </c>
      <c r="O298" s="236" t="str">
        <f>IF(B112="X","TRUE","FALSE")</f>
        <v>FALSE</v>
      </c>
      <c r="P298" s="236" t="str">
        <f>IF(C298="X","TRUE","FALSE")</f>
        <v>FALSE</v>
      </c>
      <c r="Q298" s="236" t="str">
        <f>IF(D298="X","TRUE","FALSE")</f>
        <v>FALSE</v>
      </c>
      <c r="R298" s="237">
        <f t="shared" si="16"/>
        <v>0</v>
      </c>
      <c r="S298" s="237">
        <f t="shared" si="17"/>
        <v>0</v>
      </c>
      <c r="T298" s="237">
        <f t="shared" si="18"/>
        <v>0</v>
      </c>
      <c r="U298" s="238" t="e">
        <f>(VLOOKUP($P$9,Per_diem_table,1)*N298)-SUM((X298,Y298,Z298))</f>
        <v>#REF!</v>
      </c>
      <c r="V298" s="237" t="e">
        <f>IF(U298&lt;5,5,U298)</f>
        <v>#REF!</v>
      </c>
      <c r="X298" s="170">
        <f>IF(AND(N298=0.75,($O298="TRUE")),ABS('Per Diem Calc Tool'!$R298*0.75),IF($O298="TRUE",ABS('Per Diem Calc Tool'!$R298),""))</f>
      </c>
      <c r="Y298" s="170">
        <f>IF(AND(N298=0.75,($P298="TRUE")),ABS('Per Diem Calc Tool'!$S298*0.75),IF($P298="TRUE",ABS('Per Diem Calc Tool'!$S298),""))</f>
      </c>
      <c r="Z298" s="170">
        <f>IF(AND(N298=0.75,($Q298="TRUE")),ABS('Per Diem Calc Tool'!$T298*0.75),IF($Q298="TRUE",ABS('Per Diem Calc Tool'!$T298),""))</f>
      </c>
    </row>
    <row r="299" spans="12:26" ht="13.5">
      <c r="L299" s="188"/>
      <c r="N299" s="235"/>
      <c r="O299" s="236" t="str">
        <f t="shared" si="19"/>
        <v>FALSE</v>
      </c>
      <c r="P299" s="236"/>
      <c r="Q299" s="236"/>
      <c r="R299" s="237">
        <f t="shared" si="16"/>
        <v>0</v>
      </c>
      <c r="S299" s="237">
        <f t="shared" si="17"/>
        <v>0</v>
      </c>
      <c r="T299" s="237">
        <f t="shared" si="18"/>
        <v>0</v>
      </c>
      <c r="U299" s="238" t="e">
        <f>(VLOOKUP($P$9,Per_diem_table,1)*N299)-SUM((X299,Y299,Z299))</f>
        <v>#REF!</v>
      </c>
      <c r="V299" s="237"/>
      <c r="X299" s="170">
        <f>IF(AND(N299=0.75,($O299="TRUE")),ABS('Per Diem Calc Tool'!$R299*0.75),IF($O299="TRUE",ABS('Per Diem Calc Tool'!$R299),""))</f>
      </c>
      <c r="Y299" s="170">
        <f>IF(AND(N299=0.75,($P299="TRUE")),ABS('Per Diem Calc Tool'!$S299*0.75),IF($P299="TRUE",ABS('Per Diem Calc Tool'!$S299),""))</f>
      </c>
      <c r="Z299" s="170">
        <f>IF(AND(N299=0.75,($Q299="TRUE")),ABS('Per Diem Calc Tool'!$T299*0.75),IF($Q299="TRUE",ABS('Per Diem Calc Tool'!$T299),""))</f>
      </c>
    </row>
    <row r="300" spans="12:26" ht="13.5">
      <c r="L300" s="188"/>
      <c r="N300" s="235"/>
      <c r="O300" s="236" t="str">
        <f t="shared" si="19"/>
        <v>FALSE</v>
      </c>
      <c r="P300" s="236"/>
      <c r="Q300" s="236"/>
      <c r="R300" s="237">
        <f t="shared" si="16"/>
        <v>0</v>
      </c>
      <c r="S300" s="237">
        <f t="shared" si="17"/>
        <v>0</v>
      </c>
      <c r="T300" s="237">
        <f t="shared" si="18"/>
        <v>0</v>
      </c>
      <c r="U300" s="238" t="e">
        <f>(VLOOKUP($P$9,Per_diem_table,1)*N300)-SUM((X300,Y300,Z300))</f>
        <v>#REF!</v>
      </c>
      <c r="V300" s="237"/>
      <c r="X300" s="170">
        <f>IF(AND(N300=0.75,($O300="TRUE")),ABS('Per Diem Calc Tool'!$R300*0.75),IF($O300="TRUE",ABS('Per Diem Calc Tool'!$R300),""))</f>
      </c>
      <c r="Y300" s="170">
        <f>IF(AND(N300=0.75,($P300="TRUE")),ABS('Per Diem Calc Tool'!$S300*0.75),IF($P300="TRUE",ABS('Per Diem Calc Tool'!$S300),""))</f>
      </c>
      <c r="Z300" s="170">
        <f>IF(AND(N300=0.75,($Q300="TRUE")),ABS('Per Diem Calc Tool'!$T300*0.75),IF($Q300="TRUE",ABS('Per Diem Calc Tool'!$T300),""))</f>
      </c>
    </row>
    <row r="301" spans="12:26" ht="13.5">
      <c r="L301" s="188">
        <v>94</v>
      </c>
      <c r="M301" s="169" t="b">
        <f>+L301&lt;=$O$7</f>
        <v>0</v>
      </c>
      <c r="N301" s="235">
        <f>IF(L301=$O$7,0.75,1)</f>
        <v>1</v>
      </c>
      <c r="O301" s="236" t="str">
        <f>IF(B113="X","TRUE","FALSE")</f>
        <v>FALSE</v>
      </c>
      <c r="P301" s="236" t="str">
        <f>IF(C299="X","TRUE","FALSE")</f>
        <v>FALSE</v>
      </c>
      <c r="Q301" s="236" t="str">
        <f>IF(D299="X","TRUE","FALSE")</f>
        <v>FALSE</v>
      </c>
      <c r="R301" s="237">
        <f t="shared" si="16"/>
        <v>0</v>
      </c>
      <c r="S301" s="237">
        <f t="shared" si="17"/>
        <v>0</v>
      </c>
      <c r="T301" s="237">
        <f t="shared" si="18"/>
        <v>0</v>
      </c>
      <c r="U301" s="238" t="e">
        <f>(VLOOKUP($P$9,Per_diem_table,1)*N301)-SUM((X301,Y301,Z301))</f>
        <v>#REF!</v>
      </c>
      <c r="V301" s="237" t="e">
        <f>IF(U301&lt;5,5,U301)</f>
        <v>#REF!</v>
      </c>
      <c r="X301" s="170">
        <f>IF(AND(N301=0.75,($O301="TRUE")),ABS('Per Diem Calc Tool'!$R301*0.75),IF($O301="TRUE",ABS('Per Diem Calc Tool'!$R301),""))</f>
      </c>
      <c r="Y301" s="170">
        <f>IF(AND(N301=0.75,($P301="TRUE")),ABS('Per Diem Calc Tool'!$S301*0.75),IF($P301="TRUE",ABS('Per Diem Calc Tool'!$S301),""))</f>
      </c>
      <c r="Z301" s="170">
        <f>IF(AND(N301=0.75,($Q301="TRUE")),ABS('Per Diem Calc Tool'!$T301*0.75),IF($Q301="TRUE",ABS('Per Diem Calc Tool'!$T301),""))</f>
      </c>
    </row>
    <row r="302" spans="12:26" ht="13.5">
      <c r="L302" s="188"/>
      <c r="N302" s="235"/>
      <c r="O302" s="236" t="str">
        <f t="shared" si="19"/>
        <v>FALSE</v>
      </c>
      <c r="P302" s="236"/>
      <c r="Q302" s="236"/>
      <c r="R302" s="237">
        <f t="shared" si="16"/>
        <v>0</v>
      </c>
      <c r="S302" s="237">
        <f t="shared" si="17"/>
        <v>0</v>
      </c>
      <c r="T302" s="237">
        <f t="shared" si="18"/>
        <v>0</v>
      </c>
      <c r="U302" s="238" t="e">
        <f>(VLOOKUP($P$9,Per_diem_table,1)*N302)-SUM((X302,Y302,Z302))</f>
        <v>#REF!</v>
      </c>
      <c r="V302" s="237"/>
      <c r="X302" s="170">
        <f>IF(AND(N302=0.75,($O302="TRUE")),ABS('Per Diem Calc Tool'!$R302*0.75),IF($O302="TRUE",ABS('Per Diem Calc Tool'!$R302),""))</f>
      </c>
      <c r="Y302" s="170">
        <f>IF(AND(N302=0.75,($P302="TRUE")),ABS('Per Diem Calc Tool'!$S302*0.75),IF($P302="TRUE",ABS('Per Diem Calc Tool'!$S302),""))</f>
      </c>
      <c r="Z302" s="170">
        <f>IF(AND(N302=0.75,($Q302="TRUE")),ABS('Per Diem Calc Tool'!$T302*0.75),IF($Q302="TRUE",ABS('Per Diem Calc Tool'!$T302),""))</f>
      </c>
    </row>
    <row r="303" spans="12:26" ht="13.5">
      <c r="L303" s="188"/>
      <c r="N303" s="235"/>
      <c r="O303" s="236" t="str">
        <f t="shared" si="19"/>
        <v>FALSE</v>
      </c>
      <c r="P303" s="236"/>
      <c r="Q303" s="236"/>
      <c r="R303" s="237">
        <f t="shared" si="16"/>
        <v>0</v>
      </c>
      <c r="S303" s="237">
        <f t="shared" si="17"/>
        <v>0</v>
      </c>
      <c r="T303" s="237">
        <f t="shared" si="18"/>
        <v>0</v>
      </c>
      <c r="U303" s="238" t="e">
        <f>(VLOOKUP($P$9,Per_diem_table,1)*N303)-SUM((X303,Y303,Z303))</f>
        <v>#REF!</v>
      </c>
      <c r="V303" s="237"/>
      <c r="X303" s="170">
        <f>IF(AND(N303=0.75,($O303="TRUE")),ABS('Per Diem Calc Tool'!$R303*0.75),IF($O303="TRUE",ABS('Per Diem Calc Tool'!$R303),""))</f>
      </c>
      <c r="Y303" s="170">
        <f>IF(AND(N303=0.75,($P303="TRUE")),ABS('Per Diem Calc Tool'!$S303*0.75),IF($P303="TRUE",ABS('Per Diem Calc Tool'!$S303),""))</f>
      </c>
      <c r="Z303" s="170">
        <f>IF(AND(N303=0.75,($Q303="TRUE")),ABS('Per Diem Calc Tool'!$T303*0.75),IF($Q303="TRUE",ABS('Per Diem Calc Tool'!$T303),""))</f>
      </c>
    </row>
    <row r="304" spans="12:26" ht="13.5">
      <c r="L304" s="188">
        <v>95</v>
      </c>
      <c r="M304" s="169" t="b">
        <f>+L304&lt;=$O$7</f>
        <v>0</v>
      </c>
      <c r="N304" s="235">
        <f>IF(L304=$O$7,0.75,1)</f>
        <v>1</v>
      </c>
      <c r="O304" s="236" t="str">
        <f>IF(B114="X","TRUE","FALSE")</f>
        <v>FALSE</v>
      </c>
      <c r="P304" s="236" t="str">
        <f>IF(C300="X","TRUE","FALSE")</f>
        <v>FALSE</v>
      </c>
      <c r="Q304" s="236" t="str">
        <f>IF(D300="X","TRUE","FALSE")</f>
        <v>FALSE</v>
      </c>
      <c r="R304" s="237">
        <f t="shared" si="16"/>
        <v>0</v>
      </c>
      <c r="S304" s="237">
        <f t="shared" si="17"/>
        <v>0</v>
      </c>
      <c r="T304" s="237">
        <f t="shared" si="18"/>
        <v>0</v>
      </c>
      <c r="U304" s="238" t="e">
        <f>(VLOOKUP($P$9,Per_diem_table,1)*N304)-SUM((X304,Y304,Z304))</f>
        <v>#REF!</v>
      </c>
      <c r="V304" s="237" t="e">
        <f>IF(U304&lt;5,5,U304)</f>
        <v>#REF!</v>
      </c>
      <c r="X304" s="170">
        <f>IF(AND(N304=0.75,($O304="TRUE")),ABS('Per Diem Calc Tool'!$R304*0.75),IF($O304="TRUE",ABS('Per Diem Calc Tool'!$R304),""))</f>
      </c>
      <c r="Y304" s="170">
        <f>IF(AND(N304=0.75,($P304="TRUE")),ABS('Per Diem Calc Tool'!$S304*0.75),IF($P304="TRUE",ABS('Per Diem Calc Tool'!$S304),""))</f>
      </c>
      <c r="Z304" s="170">
        <f>IF(AND(N304=0.75,($Q304="TRUE")),ABS('Per Diem Calc Tool'!$T304*0.75),IF($Q304="TRUE",ABS('Per Diem Calc Tool'!$T304),""))</f>
      </c>
    </row>
    <row r="305" spans="12:26" ht="13.5">
      <c r="L305" s="188"/>
      <c r="N305" s="235"/>
      <c r="O305" s="236" t="str">
        <f t="shared" si="19"/>
        <v>FALSE</v>
      </c>
      <c r="P305" s="236"/>
      <c r="Q305" s="236"/>
      <c r="R305" s="237">
        <f t="shared" si="16"/>
        <v>0</v>
      </c>
      <c r="S305" s="237">
        <f t="shared" si="17"/>
        <v>0</v>
      </c>
      <c r="T305" s="237">
        <f t="shared" si="18"/>
        <v>0</v>
      </c>
      <c r="U305" s="238" t="e">
        <f>(VLOOKUP($P$9,Per_diem_table,1)*N305)-SUM((X305,Y305,Z305))</f>
        <v>#REF!</v>
      </c>
      <c r="V305" s="237"/>
      <c r="X305" s="170">
        <f>IF(AND(N305=0.75,($O305="TRUE")),ABS('Per Diem Calc Tool'!$R305*0.75),IF($O305="TRUE",ABS('Per Diem Calc Tool'!$R305),""))</f>
      </c>
      <c r="Y305" s="170">
        <f>IF(AND(N305=0.75,($P305="TRUE")),ABS('Per Diem Calc Tool'!$S305*0.75),IF($P305="TRUE",ABS('Per Diem Calc Tool'!$S305),""))</f>
      </c>
      <c r="Z305" s="170">
        <f>IF(AND(N305=0.75,($Q305="TRUE")),ABS('Per Diem Calc Tool'!$T305*0.75),IF($Q305="TRUE",ABS('Per Diem Calc Tool'!$T305),""))</f>
      </c>
    </row>
    <row r="306" spans="12:26" ht="13.5">
      <c r="L306" s="188"/>
      <c r="N306" s="235"/>
      <c r="O306" s="236" t="str">
        <f t="shared" si="19"/>
        <v>FALSE</v>
      </c>
      <c r="P306" s="236"/>
      <c r="Q306" s="236"/>
      <c r="R306" s="237">
        <f t="shared" si="16"/>
        <v>0</v>
      </c>
      <c r="S306" s="237">
        <f t="shared" si="17"/>
        <v>0</v>
      </c>
      <c r="T306" s="237">
        <f t="shared" si="18"/>
        <v>0</v>
      </c>
      <c r="U306" s="238" t="e">
        <f>(VLOOKUP($P$9,Per_diem_table,1)*N306)-SUM((X306,Y306,Z306))</f>
        <v>#REF!</v>
      </c>
      <c r="V306" s="237"/>
      <c r="X306" s="170">
        <f>IF(AND(N306=0.75,($O306="TRUE")),ABS('Per Diem Calc Tool'!$R306*0.75),IF($O306="TRUE",ABS('Per Diem Calc Tool'!$R306),""))</f>
      </c>
      <c r="Y306" s="170">
        <f>IF(AND(N306=0.75,($P306="TRUE")),ABS('Per Diem Calc Tool'!$S306*0.75),IF($P306="TRUE",ABS('Per Diem Calc Tool'!$S306),""))</f>
      </c>
      <c r="Z306" s="170">
        <f>IF(AND(N306=0.75,($Q306="TRUE")),ABS('Per Diem Calc Tool'!$T306*0.75),IF($Q306="TRUE",ABS('Per Diem Calc Tool'!$T306),""))</f>
      </c>
    </row>
    <row r="307" spans="12:26" ht="13.5">
      <c r="L307" s="188">
        <v>96</v>
      </c>
      <c r="M307" s="169" t="b">
        <f>+L307&lt;=$O$7</f>
        <v>0</v>
      </c>
      <c r="N307" s="235">
        <f>IF(L307=$O$7,0.75,1)</f>
        <v>1</v>
      </c>
      <c r="O307" s="236" t="str">
        <f>IF(B115="X","TRUE","FALSE")</f>
        <v>FALSE</v>
      </c>
      <c r="P307" s="236" t="str">
        <f>IF(C307="X","TRUE","FALSE")</f>
        <v>FALSE</v>
      </c>
      <c r="Q307" s="236" t="str">
        <f>IF(D307="X","TRUE","FALSE")</f>
        <v>FALSE</v>
      </c>
      <c r="R307" s="237">
        <f t="shared" si="16"/>
        <v>0</v>
      </c>
      <c r="S307" s="237">
        <f t="shared" si="17"/>
        <v>0</v>
      </c>
      <c r="T307" s="237">
        <f t="shared" si="18"/>
        <v>0</v>
      </c>
      <c r="U307" s="238" t="e">
        <f>(VLOOKUP($P$9,Per_diem_table,1)*N307)-SUM((X307,Y307,Z307))</f>
        <v>#REF!</v>
      </c>
      <c r="V307" s="237" t="e">
        <f>IF(U307&lt;5,5,U307)</f>
        <v>#REF!</v>
      </c>
      <c r="X307" s="170">
        <f>IF(AND(N307=0.75,($O307="TRUE")),ABS('Per Diem Calc Tool'!$R307*0.75),IF($O307="TRUE",ABS('Per Diem Calc Tool'!$R307),""))</f>
      </c>
      <c r="Y307" s="170">
        <f>IF(AND(N307=0.75,($P307="TRUE")),ABS('Per Diem Calc Tool'!$S307*0.75),IF($P307="TRUE",ABS('Per Diem Calc Tool'!$S307),""))</f>
      </c>
      <c r="Z307" s="170">
        <f>IF(AND(N307=0.75,($Q307="TRUE")),ABS('Per Diem Calc Tool'!$T307*0.75),IF($Q307="TRUE",ABS('Per Diem Calc Tool'!$T307),""))</f>
      </c>
    </row>
    <row r="308" spans="12:26" ht="13.5">
      <c r="L308" s="188"/>
      <c r="N308" s="235"/>
      <c r="O308" s="236" t="str">
        <f t="shared" si="19"/>
        <v>FALSE</v>
      </c>
      <c r="P308" s="236"/>
      <c r="Q308" s="236"/>
      <c r="R308" s="237">
        <f t="shared" si="16"/>
        <v>0</v>
      </c>
      <c r="S308" s="237">
        <f t="shared" si="17"/>
        <v>0</v>
      </c>
      <c r="T308" s="237">
        <f t="shared" si="18"/>
        <v>0</v>
      </c>
      <c r="U308" s="238" t="e">
        <f>(VLOOKUP($P$9,Per_diem_table,1)*N308)-SUM((X308,Y308,Z308))</f>
        <v>#REF!</v>
      </c>
      <c r="V308" s="237"/>
      <c r="X308" s="170">
        <f>IF(AND(N308=0.75,($O308="TRUE")),ABS('Per Diem Calc Tool'!$R308*0.75),IF($O308="TRUE",ABS('Per Diem Calc Tool'!$R308),""))</f>
      </c>
      <c r="Y308" s="170">
        <f>IF(AND(N308=0.75,($P308="TRUE")),ABS('Per Diem Calc Tool'!$S308*0.75),IF($P308="TRUE",ABS('Per Diem Calc Tool'!$S308),""))</f>
      </c>
      <c r="Z308" s="170">
        <f>IF(AND(N308=0.75,($Q308="TRUE")),ABS('Per Diem Calc Tool'!$T308*0.75),IF($Q308="TRUE",ABS('Per Diem Calc Tool'!$T308),""))</f>
      </c>
    </row>
    <row r="309" spans="12:26" ht="13.5">
      <c r="L309" s="188"/>
      <c r="N309" s="235"/>
      <c r="O309" s="236" t="str">
        <f t="shared" si="19"/>
        <v>FALSE</v>
      </c>
      <c r="P309" s="236"/>
      <c r="Q309" s="236"/>
      <c r="R309" s="237">
        <f t="shared" si="16"/>
        <v>0</v>
      </c>
      <c r="S309" s="237">
        <f t="shared" si="17"/>
        <v>0</v>
      </c>
      <c r="T309" s="237">
        <f t="shared" si="18"/>
        <v>0</v>
      </c>
      <c r="U309" s="238" t="e">
        <f>(VLOOKUP($P$9,Per_diem_table,1)*N309)-SUM((X309,Y309,Z309))</f>
        <v>#REF!</v>
      </c>
      <c r="V309" s="237"/>
      <c r="X309" s="170">
        <f>IF(AND(N309=0.75,($O309="TRUE")),ABS('Per Diem Calc Tool'!$R309*0.75),IF($O309="TRUE",ABS('Per Diem Calc Tool'!$R309),""))</f>
      </c>
      <c r="Y309" s="170">
        <f>IF(AND(N309=0.75,($P309="TRUE")),ABS('Per Diem Calc Tool'!$S309*0.75),IF($P309="TRUE",ABS('Per Diem Calc Tool'!$S309),""))</f>
      </c>
      <c r="Z309" s="170">
        <f>IF(AND(N309=0.75,($Q309="TRUE")),ABS('Per Diem Calc Tool'!$T309*0.75),IF($Q309="TRUE",ABS('Per Diem Calc Tool'!$T309),""))</f>
      </c>
    </row>
    <row r="310" spans="12:26" ht="13.5">
      <c r="L310" s="188">
        <v>97</v>
      </c>
      <c r="M310" s="169" t="b">
        <f>+L310&lt;=$O$7</f>
        <v>0</v>
      </c>
      <c r="N310" s="235">
        <f>IF(L310=$O$7,0.75,1)</f>
        <v>1</v>
      </c>
      <c r="O310" s="236" t="str">
        <f>IF(B116="X","TRUE","FALSE")</f>
        <v>FALSE</v>
      </c>
      <c r="P310" s="236" t="str">
        <f>IF(C308="X","TRUE","FALSE")</f>
        <v>FALSE</v>
      </c>
      <c r="Q310" s="236" t="str">
        <f>IF(D308="X","TRUE","FALSE")</f>
        <v>FALSE</v>
      </c>
      <c r="R310" s="237">
        <f t="shared" si="16"/>
        <v>0</v>
      </c>
      <c r="S310" s="237">
        <f t="shared" si="17"/>
        <v>0</v>
      </c>
      <c r="T310" s="237">
        <f t="shared" si="18"/>
        <v>0</v>
      </c>
      <c r="U310" s="238" t="e">
        <f>(VLOOKUP($P$9,Per_diem_table,1)*N310)-SUM((X310,Y310,Z310))</f>
        <v>#REF!</v>
      </c>
      <c r="V310" s="237" t="e">
        <f>IF(U310&lt;5,5,U310)</f>
        <v>#REF!</v>
      </c>
      <c r="X310" s="170">
        <f>IF(AND(N310=0.75,($O310="TRUE")),ABS('Per Diem Calc Tool'!$R310*0.75),IF($O310="TRUE",ABS('Per Diem Calc Tool'!$R310),""))</f>
      </c>
      <c r="Y310" s="170">
        <f>IF(AND(N310=0.75,($P310="TRUE")),ABS('Per Diem Calc Tool'!$S310*0.75),IF($P310="TRUE",ABS('Per Diem Calc Tool'!$S310),""))</f>
      </c>
      <c r="Z310" s="170">
        <f>IF(AND(N310=0.75,($Q310="TRUE")),ABS('Per Diem Calc Tool'!$T310*0.75),IF($Q310="TRUE",ABS('Per Diem Calc Tool'!$T310),""))</f>
      </c>
    </row>
    <row r="311" spans="12:26" ht="13.5">
      <c r="L311" s="188"/>
      <c r="N311" s="235"/>
      <c r="O311" s="236" t="str">
        <f t="shared" si="19"/>
        <v>FALSE</v>
      </c>
      <c r="P311" s="236"/>
      <c r="Q311" s="236"/>
      <c r="R311" s="237">
        <f t="shared" si="16"/>
        <v>0</v>
      </c>
      <c r="S311" s="237">
        <f t="shared" si="17"/>
        <v>0</v>
      </c>
      <c r="T311" s="237">
        <f t="shared" si="18"/>
        <v>0</v>
      </c>
      <c r="U311" s="238" t="e">
        <f>(VLOOKUP($P$9,Per_diem_table,1)*N311)-SUM((X311,Y311,Z311))</f>
        <v>#REF!</v>
      </c>
      <c r="V311" s="237"/>
      <c r="X311" s="170">
        <f>IF(AND(N311=0.75,($O311="TRUE")),ABS('Per Diem Calc Tool'!$R311*0.75),IF($O311="TRUE",ABS('Per Diem Calc Tool'!$R311),""))</f>
      </c>
      <c r="Y311" s="170">
        <f>IF(AND(N311=0.75,($P311="TRUE")),ABS('Per Diem Calc Tool'!$S311*0.75),IF($P311="TRUE",ABS('Per Diem Calc Tool'!$S311),""))</f>
      </c>
      <c r="Z311" s="170">
        <f>IF(AND(N311=0.75,($Q311="TRUE")),ABS('Per Diem Calc Tool'!$T311*0.75),IF($Q311="TRUE",ABS('Per Diem Calc Tool'!$T311),""))</f>
      </c>
    </row>
    <row r="312" spans="12:26" ht="13.5">
      <c r="L312" s="188"/>
      <c r="N312" s="235"/>
      <c r="O312" s="236" t="str">
        <f t="shared" si="19"/>
        <v>FALSE</v>
      </c>
      <c r="P312" s="236"/>
      <c r="Q312" s="236"/>
      <c r="R312" s="237">
        <f t="shared" si="16"/>
        <v>0</v>
      </c>
      <c r="S312" s="237">
        <f t="shared" si="17"/>
        <v>0</v>
      </c>
      <c r="T312" s="237">
        <f t="shared" si="18"/>
        <v>0</v>
      </c>
      <c r="U312" s="238" t="e">
        <f>(VLOOKUP($P$9,Per_diem_table,1)*N312)-SUM((X312,Y312,Z312))</f>
        <v>#REF!</v>
      </c>
      <c r="V312" s="237"/>
      <c r="X312" s="170">
        <f>IF(AND(N312=0.75,($O312="TRUE")),ABS('Per Diem Calc Tool'!$R312*0.75),IF($O312="TRUE",ABS('Per Diem Calc Tool'!$R312),""))</f>
      </c>
      <c r="Y312" s="170">
        <f>IF(AND(N312=0.75,($P312="TRUE")),ABS('Per Diem Calc Tool'!$S312*0.75),IF($P312="TRUE",ABS('Per Diem Calc Tool'!$S312),""))</f>
      </c>
      <c r="Z312" s="170">
        <f>IF(AND(N312=0.75,($Q312="TRUE")),ABS('Per Diem Calc Tool'!$T312*0.75),IF($Q312="TRUE",ABS('Per Diem Calc Tool'!$T312),""))</f>
      </c>
    </row>
    <row r="313" spans="12:26" ht="13.5">
      <c r="L313" s="188">
        <v>98</v>
      </c>
      <c r="M313" s="169" t="b">
        <f>+L313&lt;=$O$7</f>
        <v>0</v>
      </c>
      <c r="N313" s="235">
        <f>IF(L313=$O$7,0.75,1)</f>
        <v>1</v>
      </c>
      <c r="O313" s="236" t="str">
        <f>IF(B117="X","TRUE","FALSE")</f>
        <v>FALSE</v>
      </c>
      <c r="P313" s="236" t="str">
        <f>IF(C309="X","TRUE","FALSE")</f>
        <v>FALSE</v>
      </c>
      <c r="Q313" s="236" t="str">
        <f>IF(D309="X","TRUE","FALSE")</f>
        <v>FALSE</v>
      </c>
      <c r="R313" s="237">
        <f t="shared" si="16"/>
        <v>0</v>
      </c>
      <c r="S313" s="237">
        <f t="shared" si="17"/>
        <v>0</v>
      </c>
      <c r="T313" s="237">
        <f t="shared" si="18"/>
        <v>0</v>
      </c>
      <c r="U313" s="238" t="e">
        <f>(VLOOKUP($P$9,Per_diem_table,1)*N313)-SUM((X313,Y313,Z313))</f>
        <v>#REF!</v>
      </c>
      <c r="V313" s="237" t="e">
        <f>IF(U313&lt;5,5,U313)</f>
        <v>#REF!</v>
      </c>
      <c r="X313" s="170">
        <f>IF(AND(N313=0.75,($O313="TRUE")),ABS('Per Diem Calc Tool'!$R313*0.75),IF($O313="TRUE",ABS('Per Diem Calc Tool'!$R313),""))</f>
      </c>
      <c r="Y313" s="170">
        <f>IF(AND(N313=0.75,($P313="TRUE")),ABS('Per Diem Calc Tool'!$S313*0.75),IF($P313="TRUE",ABS('Per Diem Calc Tool'!$S313),""))</f>
      </c>
      <c r="Z313" s="170">
        <f>IF(AND(N313=0.75,($Q313="TRUE")),ABS('Per Diem Calc Tool'!$T313*0.75),IF($Q313="TRUE",ABS('Per Diem Calc Tool'!$T313),""))</f>
      </c>
    </row>
    <row r="314" spans="12:26" ht="13.5">
      <c r="L314" s="188"/>
      <c r="N314" s="235"/>
      <c r="O314" s="236" t="str">
        <f t="shared" si="19"/>
        <v>FALSE</v>
      </c>
      <c r="P314" s="236"/>
      <c r="Q314" s="236"/>
      <c r="R314" s="237">
        <f t="shared" si="16"/>
        <v>0</v>
      </c>
      <c r="S314" s="237">
        <f t="shared" si="17"/>
        <v>0</v>
      </c>
      <c r="T314" s="237">
        <f t="shared" si="18"/>
        <v>0</v>
      </c>
      <c r="U314" s="238" t="e">
        <f>(VLOOKUP($P$9,Per_diem_table,1)*N314)-SUM((X314,Y314,Z314))</f>
        <v>#REF!</v>
      </c>
      <c r="V314" s="237"/>
      <c r="X314" s="170">
        <f>IF(AND(N314=0.75,($O314="TRUE")),ABS('Per Diem Calc Tool'!$R314*0.75),IF($O314="TRUE",ABS('Per Diem Calc Tool'!$R314),""))</f>
      </c>
      <c r="Y314" s="170">
        <f>IF(AND(N314=0.75,($P314="TRUE")),ABS('Per Diem Calc Tool'!$S314*0.75),IF($P314="TRUE",ABS('Per Diem Calc Tool'!$S314),""))</f>
      </c>
      <c r="Z314" s="170">
        <f>IF(AND(N314=0.75,($Q314="TRUE")),ABS('Per Diem Calc Tool'!$T314*0.75),IF($Q314="TRUE",ABS('Per Diem Calc Tool'!$T314),""))</f>
      </c>
    </row>
    <row r="315" spans="12:26" ht="13.5">
      <c r="L315" s="188"/>
      <c r="N315" s="235"/>
      <c r="O315" s="236" t="str">
        <f t="shared" si="19"/>
        <v>FALSE</v>
      </c>
      <c r="P315" s="236"/>
      <c r="Q315" s="236"/>
      <c r="R315" s="237">
        <f t="shared" si="16"/>
        <v>0</v>
      </c>
      <c r="S315" s="237">
        <f t="shared" si="17"/>
        <v>0</v>
      </c>
      <c r="T315" s="237">
        <f t="shared" si="18"/>
        <v>0</v>
      </c>
      <c r="U315" s="238" t="e">
        <f>(VLOOKUP($P$9,Per_diem_table,1)*N315)-SUM((X315,Y315,Z315))</f>
        <v>#REF!</v>
      </c>
      <c r="V315" s="237"/>
      <c r="X315" s="170">
        <f>IF(AND(N315=0.75,($O315="TRUE")),ABS('Per Diem Calc Tool'!$R315*0.75),IF($O315="TRUE",ABS('Per Diem Calc Tool'!$R315),""))</f>
      </c>
      <c r="Y315" s="170">
        <f>IF(AND(N315=0.75,($P315="TRUE")),ABS('Per Diem Calc Tool'!$S315*0.75),IF($P315="TRUE",ABS('Per Diem Calc Tool'!$S315),""))</f>
      </c>
      <c r="Z315" s="170">
        <f>IF(AND(N315=0.75,($Q315="TRUE")),ABS('Per Diem Calc Tool'!$T315*0.75),IF($Q315="TRUE",ABS('Per Diem Calc Tool'!$T315),""))</f>
      </c>
    </row>
    <row r="316" spans="12:26" ht="13.5">
      <c r="L316" s="188">
        <v>99</v>
      </c>
      <c r="M316" s="169" t="b">
        <f>+L316&lt;=$O$7</f>
        <v>0</v>
      </c>
      <c r="N316" s="235">
        <f>IF(L316=$O$7,0.75,1)</f>
        <v>1</v>
      </c>
      <c r="O316" s="236" t="str">
        <f>IF(B118="X","TRUE","FALSE")</f>
        <v>FALSE</v>
      </c>
      <c r="P316" s="236" t="str">
        <f>IF(C316="X","TRUE","FALSE")</f>
        <v>FALSE</v>
      </c>
      <c r="Q316" s="236" t="str">
        <f>IF(D316="X","TRUE","FALSE")</f>
        <v>FALSE</v>
      </c>
      <c r="R316" s="237">
        <f t="shared" si="16"/>
        <v>0</v>
      </c>
      <c r="S316" s="237">
        <f t="shared" si="17"/>
        <v>0</v>
      </c>
      <c r="T316" s="237">
        <f t="shared" si="18"/>
        <v>0</v>
      </c>
      <c r="U316" s="238" t="e">
        <f>(VLOOKUP($P$9,Per_diem_table,1)*N316)-SUM((X316,Y316,Z316))</f>
        <v>#REF!</v>
      </c>
      <c r="V316" s="237" t="e">
        <f>IF(U316&lt;5,5,U316)</f>
        <v>#REF!</v>
      </c>
      <c r="X316" s="170">
        <f>IF(AND(N316=0.75,($O316="TRUE")),ABS('Per Diem Calc Tool'!$R316*0.75),IF($O316="TRUE",ABS('Per Diem Calc Tool'!$R316),""))</f>
      </c>
      <c r="Y316" s="170">
        <f>IF(AND(N316=0.75,($P316="TRUE")),ABS('Per Diem Calc Tool'!$S316*0.75),IF($P316="TRUE",ABS('Per Diem Calc Tool'!$S316),""))</f>
      </c>
      <c r="Z316" s="170">
        <f>IF(AND(N316=0.75,($Q316="TRUE")),ABS('Per Diem Calc Tool'!$T316*0.75),IF($Q316="TRUE",ABS('Per Diem Calc Tool'!$T316),""))</f>
      </c>
    </row>
    <row r="317" spans="12:26" ht="13.5">
      <c r="L317" s="188"/>
      <c r="N317" s="235"/>
      <c r="O317" s="236" t="str">
        <f t="shared" si="19"/>
        <v>FALSE</v>
      </c>
      <c r="P317" s="236"/>
      <c r="Q317" s="236"/>
      <c r="R317" s="237">
        <f t="shared" si="16"/>
        <v>0</v>
      </c>
      <c r="S317" s="237">
        <f t="shared" si="17"/>
        <v>0</v>
      </c>
      <c r="T317" s="237">
        <f t="shared" si="18"/>
        <v>0</v>
      </c>
      <c r="U317" s="238" t="e">
        <f>(VLOOKUP($P$9,Per_diem_table,1)*N317)-SUM((X317,Y317,Z317))</f>
        <v>#REF!</v>
      </c>
      <c r="V317" s="237"/>
      <c r="X317" s="170">
        <f>IF(AND(N317=0.75,($O317="TRUE")),ABS('Per Diem Calc Tool'!$R317*0.75),IF($O317="TRUE",ABS('Per Diem Calc Tool'!$R317),""))</f>
      </c>
      <c r="Y317" s="170">
        <f>IF(AND(N317=0.75,($P317="TRUE")),ABS('Per Diem Calc Tool'!$S317*0.75),IF($P317="TRUE",ABS('Per Diem Calc Tool'!$S317),""))</f>
      </c>
      <c r="Z317" s="170">
        <f>IF(AND(N317=0.75,($Q317="TRUE")),ABS('Per Diem Calc Tool'!$T317*0.75),IF($Q317="TRUE",ABS('Per Diem Calc Tool'!$T317),""))</f>
      </c>
    </row>
    <row r="318" spans="12:26" ht="13.5">
      <c r="L318" s="188"/>
      <c r="N318" s="235"/>
      <c r="O318" s="236" t="str">
        <f t="shared" si="19"/>
        <v>FALSE</v>
      </c>
      <c r="P318" s="236"/>
      <c r="Q318" s="236"/>
      <c r="R318" s="237">
        <f t="shared" si="16"/>
        <v>0</v>
      </c>
      <c r="S318" s="237">
        <f t="shared" si="17"/>
        <v>0</v>
      </c>
      <c r="T318" s="237">
        <f t="shared" si="18"/>
        <v>0</v>
      </c>
      <c r="U318" s="238" t="e">
        <f>(VLOOKUP($P$9,Per_diem_table,1)*N318)-SUM((X318,Y318,Z318))</f>
        <v>#REF!</v>
      </c>
      <c r="V318" s="237"/>
      <c r="X318" s="170">
        <f>IF(AND(N318=0.75,($O318="TRUE")),ABS('Per Diem Calc Tool'!$R318*0.75),IF($O318="TRUE",ABS('Per Diem Calc Tool'!$R318),""))</f>
      </c>
      <c r="Y318" s="170">
        <f>IF(AND(N318=0.75,($P318="TRUE")),ABS('Per Diem Calc Tool'!$S318*0.75),IF($P318="TRUE",ABS('Per Diem Calc Tool'!$S318),""))</f>
      </c>
      <c r="Z318" s="170">
        <f>IF(AND(N318=0.75,($Q318="TRUE")),ABS('Per Diem Calc Tool'!$T318*0.75),IF($Q318="TRUE",ABS('Per Diem Calc Tool'!$T318),""))</f>
      </c>
    </row>
    <row r="319" spans="12:26" ht="13.5">
      <c r="L319" s="188">
        <v>100</v>
      </c>
      <c r="M319" s="169" t="b">
        <f>+L319&lt;=$O$7</f>
        <v>0</v>
      </c>
      <c r="N319" s="235">
        <f>IF(L319=$O$7,0.75,1)</f>
        <v>1</v>
      </c>
      <c r="O319" s="236" t="str">
        <f>IF(B119="X","TRUE","FALSE")</f>
        <v>FALSE</v>
      </c>
      <c r="P319" s="236" t="str">
        <f>IF(C317="X","TRUE","FALSE")</f>
        <v>FALSE</v>
      </c>
      <c r="Q319" s="236" t="str">
        <f>IF(D317="X","TRUE","FALSE")</f>
        <v>FALSE</v>
      </c>
      <c r="R319" s="237">
        <f t="shared" si="16"/>
        <v>0</v>
      </c>
      <c r="S319" s="237">
        <f t="shared" si="17"/>
        <v>0</v>
      </c>
      <c r="T319" s="237">
        <f t="shared" si="18"/>
        <v>0</v>
      </c>
      <c r="U319" s="238" t="e">
        <f>(VLOOKUP($P$9,Per_diem_table,1)*N319)-SUM((X319,Y319,Z319))</f>
        <v>#REF!</v>
      </c>
      <c r="V319" s="237" t="e">
        <f>IF(U319&lt;5,5,U319)</f>
        <v>#REF!</v>
      </c>
      <c r="X319" s="170">
        <f>IF(AND(N319=0.75,($O319="TRUE")),ABS('Per Diem Calc Tool'!$R319*0.75),IF($O319="TRUE",ABS('Per Diem Calc Tool'!$R319),""))</f>
      </c>
      <c r="Y319" s="170">
        <f>IF(AND(N319=0.75,($P319="TRUE")),ABS('Per Diem Calc Tool'!$S319*0.75),IF($P319="TRUE",ABS('Per Diem Calc Tool'!$S319),""))</f>
      </c>
      <c r="Z319" s="170">
        <f>IF(AND(N319=0.75,($Q319="TRUE")),ABS('Per Diem Calc Tool'!$T319*0.75),IF($Q319="TRUE",ABS('Per Diem Calc Tool'!$T319),""))</f>
      </c>
    </row>
    <row r="320" spans="12:26" ht="13.5">
      <c r="L320" s="188"/>
      <c r="N320" s="235"/>
      <c r="O320" s="236" t="str">
        <f t="shared" si="19"/>
        <v>FALSE</v>
      </c>
      <c r="P320" s="236"/>
      <c r="Q320" s="236"/>
      <c r="R320" s="237">
        <f t="shared" si="16"/>
        <v>0</v>
      </c>
      <c r="S320" s="237">
        <f t="shared" si="17"/>
        <v>0</v>
      </c>
      <c r="T320" s="237">
        <f t="shared" si="18"/>
        <v>0</v>
      </c>
      <c r="U320" s="238" t="e">
        <f>(VLOOKUP($P$9,Per_diem_table,1)*N320)-SUM((X320,Y320,Z320))</f>
        <v>#REF!</v>
      </c>
      <c r="V320" s="237"/>
      <c r="X320" s="170">
        <f>IF(AND(N320=0.75,($O320="TRUE")),ABS('Per Diem Calc Tool'!$R320*0.75),IF($O320="TRUE",ABS('Per Diem Calc Tool'!$R320),""))</f>
      </c>
      <c r="Y320" s="170">
        <f>IF(AND(N320=0.75,($P320="TRUE")),ABS('Per Diem Calc Tool'!$S320*0.75),IF($P320="TRUE",ABS('Per Diem Calc Tool'!$S320),""))</f>
      </c>
      <c r="Z320" s="170">
        <f>IF(AND(N320=0.75,($Q320="TRUE")),ABS('Per Diem Calc Tool'!$T320*0.75),IF($Q320="TRUE",ABS('Per Diem Calc Tool'!$T320),""))</f>
      </c>
    </row>
    <row r="321" spans="12:26" ht="13.5">
      <c r="L321" s="188"/>
      <c r="N321" s="235"/>
      <c r="O321" s="236" t="str">
        <f t="shared" si="19"/>
        <v>FALSE</v>
      </c>
      <c r="P321" s="236"/>
      <c r="Q321" s="236"/>
      <c r="R321" s="237">
        <f t="shared" si="16"/>
        <v>0</v>
      </c>
      <c r="S321" s="237">
        <f t="shared" si="17"/>
        <v>0</v>
      </c>
      <c r="T321" s="237">
        <f t="shared" si="18"/>
        <v>0</v>
      </c>
      <c r="U321" s="238" t="e">
        <f>(VLOOKUP($P$9,Per_diem_table,1)*N321)-SUM((X321,Y321,Z321))</f>
        <v>#REF!</v>
      </c>
      <c r="V321" s="237"/>
      <c r="X321" s="170">
        <f>IF(AND(N321=0.75,($O321="TRUE")),ABS('Per Diem Calc Tool'!$R321*0.75),IF($O321="TRUE",ABS('Per Diem Calc Tool'!$R321),""))</f>
      </c>
      <c r="Y321" s="170">
        <f>IF(AND(N321=0.75,($P321="TRUE")),ABS('Per Diem Calc Tool'!$S321*0.75),IF($P321="TRUE",ABS('Per Diem Calc Tool'!$S321),""))</f>
      </c>
      <c r="Z321" s="170">
        <f>IF(AND(N321=0.75,($Q321="TRUE")),ABS('Per Diem Calc Tool'!$T321*0.75),IF($Q321="TRUE",ABS('Per Diem Calc Tool'!$T321),""))</f>
      </c>
    </row>
    <row r="322" spans="12:26" ht="13.5">
      <c r="L322" s="188">
        <v>101</v>
      </c>
      <c r="M322" s="169" t="b">
        <f>+L322&lt;=$O$7</f>
        <v>0</v>
      </c>
      <c r="N322" s="235">
        <f>IF(L322=$O$7,0.75,1)</f>
        <v>1</v>
      </c>
      <c r="O322" s="236" t="str">
        <f>IF(B120="X","TRUE","FALSE")</f>
        <v>FALSE</v>
      </c>
      <c r="P322" s="236" t="str">
        <f>IF(C318="X","TRUE","FALSE")</f>
        <v>FALSE</v>
      </c>
      <c r="Q322" s="236" t="str">
        <f>IF(D318="X","TRUE","FALSE")</f>
        <v>FALSE</v>
      </c>
      <c r="R322" s="237">
        <f t="shared" si="16"/>
        <v>0</v>
      </c>
      <c r="S322" s="237">
        <f t="shared" si="17"/>
        <v>0</v>
      </c>
      <c r="T322" s="237">
        <f t="shared" si="18"/>
        <v>0</v>
      </c>
      <c r="U322" s="238" t="e">
        <f>(VLOOKUP($P$9,Per_diem_table,1)*N322)-SUM((X322,Y322,Z322))</f>
        <v>#REF!</v>
      </c>
      <c r="V322" s="237" t="e">
        <f>IF(U322&lt;5,5,U322)</f>
        <v>#REF!</v>
      </c>
      <c r="X322" s="170">
        <f>IF(AND(N322=0.75,($O322="TRUE")),ABS('Per Diem Calc Tool'!$R322*0.75),IF($O322="TRUE",ABS('Per Diem Calc Tool'!$R322),""))</f>
      </c>
      <c r="Y322" s="170">
        <f>IF(AND(N322=0.75,($P322="TRUE")),ABS('Per Diem Calc Tool'!$S322*0.75),IF($P322="TRUE",ABS('Per Diem Calc Tool'!$S322),""))</f>
      </c>
      <c r="Z322" s="170">
        <f>IF(AND(N322=0.75,($Q322="TRUE")),ABS('Per Diem Calc Tool'!$T322*0.75),IF($Q322="TRUE",ABS('Per Diem Calc Tool'!$T322),""))</f>
      </c>
    </row>
    <row r="323" spans="12:26" ht="13.5">
      <c r="L323" s="188"/>
      <c r="N323" s="235"/>
      <c r="O323" s="236" t="str">
        <f t="shared" si="19"/>
        <v>FALSE</v>
      </c>
      <c r="P323" s="236"/>
      <c r="Q323" s="236"/>
      <c r="R323" s="237">
        <f t="shared" si="16"/>
        <v>0</v>
      </c>
      <c r="S323" s="237">
        <f t="shared" si="17"/>
        <v>0</v>
      </c>
      <c r="T323" s="237">
        <f t="shared" si="18"/>
        <v>0</v>
      </c>
      <c r="U323" s="238" t="e">
        <f>(VLOOKUP($P$9,Per_diem_table,1)*N323)-SUM((X323,Y323,Z323))</f>
        <v>#REF!</v>
      </c>
      <c r="V323" s="237"/>
      <c r="X323" s="170">
        <f>IF(AND(N323=0.75,($O323="TRUE")),ABS('Per Diem Calc Tool'!$R323*0.75),IF($O323="TRUE",ABS('Per Diem Calc Tool'!$R323),""))</f>
      </c>
      <c r="Y323" s="170">
        <f>IF(AND(N323=0.75,($P323="TRUE")),ABS('Per Diem Calc Tool'!$S323*0.75),IF($P323="TRUE",ABS('Per Diem Calc Tool'!$S323),""))</f>
      </c>
      <c r="Z323" s="170">
        <f>IF(AND(N323=0.75,($Q323="TRUE")),ABS('Per Diem Calc Tool'!$T323*0.75),IF($Q323="TRUE",ABS('Per Diem Calc Tool'!$T323),""))</f>
      </c>
    </row>
    <row r="324" spans="12:26" ht="13.5">
      <c r="L324" s="188"/>
      <c r="N324" s="235"/>
      <c r="O324" s="236" t="str">
        <f t="shared" si="19"/>
        <v>FALSE</v>
      </c>
      <c r="P324" s="236"/>
      <c r="Q324" s="236"/>
      <c r="R324" s="237">
        <f t="shared" si="16"/>
        <v>0</v>
      </c>
      <c r="S324" s="237">
        <f t="shared" si="17"/>
        <v>0</v>
      </c>
      <c r="T324" s="237">
        <f t="shared" si="18"/>
        <v>0</v>
      </c>
      <c r="U324" s="238" t="e">
        <f>(VLOOKUP($P$9,Per_diem_table,1)*N324)-SUM((X324,Y324,Z324))</f>
        <v>#REF!</v>
      </c>
      <c r="V324" s="237"/>
      <c r="X324" s="170">
        <f>IF(AND(N324=0.75,($O324="TRUE")),ABS('Per Diem Calc Tool'!$R324*0.75),IF($O324="TRUE",ABS('Per Diem Calc Tool'!$R324),""))</f>
      </c>
      <c r="Y324" s="170">
        <f>IF(AND(N324=0.75,($P324="TRUE")),ABS('Per Diem Calc Tool'!$S324*0.75),IF($P324="TRUE",ABS('Per Diem Calc Tool'!$S324),""))</f>
      </c>
      <c r="Z324" s="170">
        <f>IF(AND(N324=0.75,($Q324="TRUE")),ABS('Per Diem Calc Tool'!$T324*0.75),IF($Q324="TRUE",ABS('Per Diem Calc Tool'!$T324),""))</f>
      </c>
    </row>
    <row r="325" spans="12:26" ht="13.5">
      <c r="L325" s="188">
        <v>102</v>
      </c>
      <c r="M325" s="169" t="b">
        <f>+L325&lt;=$O$7</f>
        <v>0</v>
      </c>
      <c r="N325" s="235">
        <f>IF(L325=$O$7,0.75,1)</f>
        <v>1</v>
      </c>
      <c r="O325" s="236" t="str">
        <f>IF(B275="X","TRUE","FALSE")</f>
        <v>FALSE</v>
      </c>
      <c r="P325" s="236" t="str">
        <f>IF(C325="X","TRUE","FALSE")</f>
        <v>FALSE</v>
      </c>
      <c r="Q325" s="236" t="str">
        <f>IF(D325="X","TRUE","FALSE")</f>
        <v>FALSE</v>
      </c>
      <c r="R325" s="237">
        <f t="shared" si="16"/>
        <v>0</v>
      </c>
      <c r="S325" s="237">
        <f t="shared" si="17"/>
        <v>0</v>
      </c>
      <c r="T325" s="237">
        <f t="shared" si="18"/>
        <v>0</v>
      </c>
      <c r="U325" s="238" t="e">
        <f>(VLOOKUP($P$9,Per_diem_table,1)*N325)-SUM((X325,Y325,Z325))</f>
        <v>#REF!</v>
      </c>
      <c r="V325" s="237" t="e">
        <f>IF(U325&lt;5,5,U325)</f>
        <v>#REF!</v>
      </c>
      <c r="X325" s="170">
        <f>IF(AND(N325=0.75,($O325="TRUE")),ABS('Per Diem Calc Tool'!$R325*0.75),IF($O325="TRUE",ABS('Per Diem Calc Tool'!$R325),""))</f>
      </c>
      <c r="Y325" s="170">
        <f>IF(AND(N325=0.75,($P325="TRUE")),ABS('Per Diem Calc Tool'!$S325*0.75),IF($P325="TRUE",ABS('Per Diem Calc Tool'!$S325),""))</f>
      </c>
      <c r="Z325" s="170">
        <f>IF(AND(N325=0.75,($Q325="TRUE")),ABS('Per Diem Calc Tool'!$T325*0.75),IF($Q325="TRUE",ABS('Per Diem Calc Tool'!$T325),""))</f>
      </c>
    </row>
    <row r="326" spans="12:26" ht="13.5">
      <c r="L326" s="188"/>
      <c r="N326" s="235"/>
      <c r="O326" s="236" t="str">
        <f t="shared" si="19"/>
        <v>FALSE</v>
      </c>
      <c r="P326" s="236"/>
      <c r="Q326" s="236"/>
      <c r="R326" s="237">
        <f t="shared" si="16"/>
        <v>0</v>
      </c>
      <c r="S326" s="237">
        <f t="shared" si="17"/>
        <v>0</v>
      </c>
      <c r="T326" s="237">
        <f t="shared" si="18"/>
        <v>0</v>
      </c>
      <c r="U326" s="238" t="e">
        <f>(VLOOKUP($P$9,Per_diem_table,1)*N326)-SUM((X326,Y326,Z326))</f>
        <v>#REF!</v>
      </c>
      <c r="V326" s="237"/>
      <c r="X326" s="170">
        <f>IF(AND(N326=0.75,($O326="TRUE")),ABS('Per Diem Calc Tool'!$R326*0.75),IF($O326="TRUE",ABS('Per Diem Calc Tool'!$R326),""))</f>
      </c>
      <c r="Y326" s="170">
        <f>IF(AND(N326=0.75,($P326="TRUE")),ABS('Per Diem Calc Tool'!$S326*0.75),IF($P326="TRUE",ABS('Per Diem Calc Tool'!$S326),""))</f>
      </c>
      <c r="Z326" s="170">
        <f>IF(AND(N326=0.75,($Q326="TRUE")),ABS('Per Diem Calc Tool'!$T326*0.75),IF($Q326="TRUE",ABS('Per Diem Calc Tool'!$T326),""))</f>
      </c>
    </row>
    <row r="327" spans="12:26" ht="13.5">
      <c r="L327" s="188"/>
      <c r="N327" s="235"/>
      <c r="O327" s="236" t="str">
        <f t="shared" si="19"/>
        <v>FALSE</v>
      </c>
      <c r="P327" s="236"/>
      <c r="Q327" s="236"/>
      <c r="R327" s="237">
        <f t="shared" si="16"/>
        <v>0</v>
      </c>
      <c r="S327" s="237">
        <f t="shared" si="17"/>
        <v>0</v>
      </c>
      <c r="T327" s="237">
        <f t="shared" si="18"/>
        <v>0</v>
      </c>
      <c r="U327" s="238" t="e">
        <f>(VLOOKUP($P$9,Per_diem_table,1)*N327)-SUM((X327,Y327,Z327))</f>
        <v>#REF!</v>
      </c>
      <c r="V327" s="237"/>
      <c r="X327" s="170">
        <f>IF(AND(N327=0.75,($O327="TRUE")),ABS('Per Diem Calc Tool'!$R327*0.75),IF($O327="TRUE",ABS('Per Diem Calc Tool'!$R327),""))</f>
      </c>
      <c r="Y327" s="170">
        <f>IF(AND(N327=0.75,($P327="TRUE")),ABS('Per Diem Calc Tool'!$S327*0.75),IF($P327="TRUE",ABS('Per Diem Calc Tool'!$S327),""))</f>
      </c>
      <c r="Z327" s="170">
        <f>IF(AND(N327=0.75,($Q327="TRUE")),ABS('Per Diem Calc Tool'!$T327*0.75),IF($Q327="TRUE",ABS('Per Diem Calc Tool'!$T327),""))</f>
      </c>
    </row>
    <row r="328" spans="12:26" ht="13.5">
      <c r="L328" s="188">
        <v>103</v>
      </c>
      <c r="M328" s="169" t="b">
        <f>+L328&lt;=$O$7</f>
        <v>0</v>
      </c>
      <c r="N328" s="235">
        <f>IF(L328=$O$7,0.75,1)</f>
        <v>1</v>
      </c>
      <c r="O328" s="236" t="str">
        <f>IF(B278="X","TRUE","FALSE")</f>
        <v>FALSE</v>
      </c>
      <c r="P328" s="236" t="str">
        <f>IF(C326="X","TRUE","FALSE")</f>
        <v>FALSE</v>
      </c>
      <c r="Q328" s="236" t="str">
        <f>IF(D326="X","TRUE","FALSE")</f>
        <v>FALSE</v>
      </c>
      <c r="R328" s="237">
        <f t="shared" si="16"/>
        <v>0</v>
      </c>
      <c r="S328" s="237">
        <f t="shared" si="17"/>
        <v>0</v>
      </c>
      <c r="T328" s="237">
        <f t="shared" si="18"/>
        <v>0</v>
      </c>
      <c r="U328" s="238" t="e">
        <f>(VLOOKUP($P$9,Per_diem_table,1)*N328)-SUM((X328,Y328,Z328))</f>
        <v>#REF!</v>
      </c>
      <c r="V328" s="237" t="e">
        <f>IF(U328&lt;5,5,U328)</f>
        <v>#REF!</v>
      </c>
      <c r="X328" s="170">
        <f>IF(AND(N328=0.75,($O328="TRUE")),ABS('Per Diem Calc Tool'!$R328*0.75),IF($O328="TRUE",ABS('Per Diem Calc Tool'!$R328),""))</f>
      </c>
      <c r="Y328" s="170">
        <f>IF(AND(N328=0.75,($P328="TRUE")),ABS('Per Diem Calc Tool'!$S328*0.75),IF($P328="TRUE",ABS('Per Diem Calc Tool'!$S328),""))</f>
      </c>
      <c r="Z328" s="170">
        <f>IF(AND(N328=0.75,($Q328="TRUE")),ABS('Per Diem Calc Tool'!$T328*0.75),IF($Q328="TRUE",ABS('Per Diem Calc Tool'!$T328),""))</f>
      </c>
    </row>
    <row r="329" spans="12:26" ht="13.5">
      <c r="L329" s="188"/>
      <c r="N329" s="235"/>
      <c r="O329" s="236" t="str">
        <f t="shared" si="19"/>
        <v>FALSE</v>
      </c>
      <c r="P329" s="236"/>
      <c r="Q329" s="236"/>
      <c r="R329" s="237">
        <f t="shared" si="16"/>
        <v>0</v>
      </c>
      <c r="S329" s="237">
        <f t="shared" si="17"/>
        <v>0</v>
      </c>
      <c r="T329" s="237">
        <f t="shared" si="18"/>
        <v>0</v>
      </c>
      <c r="U329" s="238" t="e">
        <f>(VLOOKUP($P$9,Per_diem_table,1)*N329)-SUM((X329,Y329,Z329))</f>
        <v>#REF!</v>
      </c>
      <c r="V329" s="237"/>
      <c r="X329" s="170">
        <f>IF(AND(N329=0.75,($O329="TRUE")),ABS('Per Diem Calc Tool'!$R329*0.75),IF($O329="TRUE",ABS('Per Diem Calc Tool'!$R329),""))</f>
      </c>
      <c r="Y329" s="170">
        <f>IF(AND(N329=0.75,($P329="TRUE")),ABS('Per Diem Calc Tool'!$S329*0.75),IF($P329="TRUE",ABS('Per Diem Calc Tool'!$S329),""))</f>
      </c>
      <c r="Z329" s="170">
        <f>IF(AND(N329=0.75,($Q329="TRUE")),ABS('Per Diem Calc Tool'!$T329*0.75),IF($Q329="TRUE",ABS('Per Diem Calc Tool'!$T329),""))</f>
      </c>
    </row>
    <row r="330" spans="12:26" ht="13.5">
      <c r="L330" s="188"/>
      <c r="N330" s="235"/>
      <c r="O330" s="236" t="str">
        <f t="shared" si="19"/>
        <v>FALSE</v>
      </c>
      <c r="P330" s="236"/>
      <c r="Q330" s="236"/>
      <c r="R330" s="237">
        <f t="shared" si="16"/>
        <v>0</v>
      </c>
      <c r="S330" s="237">
        <f t="shared" si="17"/>
        <v>0</v>
      </c>
      <c r="T330" s="237">
        <f t="shared" si="18"/>
        <v>0</v>
      </c>
      <c r="U330" s="238" t="e">
        <f>(VLOOKUP($P$9,Per_diem_table,1)*N330)-SUM((X330,Y330,Z330))</f>
        <v>#REF!</v>
      </c>
      <c r="V330" s="237"/>
      <c r="X330" s="170">
        <f>IF(AND(N330=0.75,($O330="TRUE")),ABS('Per Diem Calc Tool'!$R330*0.75),IF($O330="TRUE",ABS('Per Diem Calc Tool'!$R330),""))</f>
      </c>
      <c r="Y330" s="170">
        <f>IF(AND(N330=0.75,($P330="TRUE")),ABS('Per Diem Calc Tool'!$S330*0.75),IF($P330="TRUE",ABS('Per Diem Calc Tool'!$S330),""))</f>
      </c>
      <c r="Z330" s="170">
        <f>IF(AND(N330=0.75,($Q330="TRUE")),ABS('Per Diem Calc Tool'!$T330*0.75),IF($Q330="TRUE",ABS('Per Diem Calc Tool'!$T330),""))</f>
      </c>
    </row>
    <row r="331" spans="12:26" ht="13.5">
      <c r="L331" s="188">
        <v>104</v>
      </c>
      <c r="M331" s="169" t="b">
        <f>+L331&lt;=$O$7</f>
        <v>0</v>
      </c>
      <c r="N331" s="235">
        <f>IF(L331=$O$7,0.75,1)</f>
        <v>1</v>
      </c>
      <c r="O331" s="236" t="str">
        <f>IF(B281="X","TRUE","FALSE")</f>
        <v>FALSE</v>
      </c>
      <c r="P331" s="236" t="str">
        <f>IF(C327="X","TRUE","FALSE")</f>
        <v>FALSE</v>
      </c>
      <c r="Q331" s="236" t="str">
        <f>IF(D327="X","TRUE","FALSE")</f>
        <v>FALSE</v>
      </c>
      <c r="R331" s="237">
        <f t="shared" si="16"/>
        <v>0</v>
      </c>
      <c r="S331" s="237">
        <f t="shared" si="17"/>
        <v>0</v>
      </c>
      <c r="T331" s="237">
        <f t="shared" si="18"/>
        <v>0</v>
      </c>
      <c r="U331" s="238" t="e">
        <f>(VLOOKUP($P$9,Per_diem_table,1)*N331)-SUM((X331,Y331,Z331))</f>
        <v>#REF!</v>
      </c>
      <c r="V331" s="237" t="e">
        <f>IF(U331&lt;5,5,U331)</f>
        <v>#REF!</v>
      </c>
      <c r="X331" s="170">
        <f>IF(AND(N331=0.75,($O331="TRUE")),ABS('Per Diem Calc Tool'!$R331*0.75),IF($O331="TRUE",ABS('Per Diem Calc Tool'!$R331),""))</f>
      </c>
      <c r="Y331" s="170">
        <f>IF(AND(N331=0.75,($P331="TRUE")),ABS('Per Diem Calc Tool'!$S331*0.75),IF($P331="TRUE",ABS('Per Diem Calc Tool'!$S331),""))</f>
      </c>
      <c r="Z331" s="170">
        <f>IF(AND(N331=0.75,($Q331="TRUE")),ABS('Per Diem Calc Tool'!$T331*0.75),IF($Q331="TRUE",ABS('Per Diem Calc Tool'!$T331),""))</f>
      </c>
    </row>
    <row r="332" spans="12:26" ht="13.5">
      <c r="L332" s="188"/>
      <c r="N332" s="235"/>
      <c r="O332" s="236" t="str">
        <f t="shared" si="19"/>
        <v>FALSE</v>
      </c>
      <c r="P332" s="236"/>
      <c r="Q332" s="236"/>
      <c r="R332" s="237">
        <f t="shared" si="16"/>
        <v>0</v>
      </c>
      <c r="S332" s="237">
        <f t="shared" si="17"/>
        <v>0</v>
      </c>
      <c r="T332" s="237">
        <f t="shared" si="18"/>
        <v>0</v>
      </c>
      <c r="U332" s="238" t="e">
        <f>(VLOOKUP($P$9,Per_diem_table,1)*N332)-SUM((X332,Y332,Z332))</f>
        <v>#REF!</v>
      </c>
      <c r="V332" s="237"/>
      <c r="X332" s="170">
        <f>IF(AND(N332=0.75,($O332="TRUE")),ABS('Per Diem Calc Tool'!$R332*0.75),IF($O332="TRUE",ABS('Per Diem Calc Tool'!$R332),""))</f>
      </c>
      <c r="Y332" s="170">
        <f>IF(AND(N332=0.75,($P332="TRUE")),ABS('Per Diem Calc Tool'!$S332*0.75),IF($P332="TRUE",ABS('Per Diem Calc Tool'!$S332),""))</f>
      </c>
      <c r="Z332" s="170">
        <f>IF(AND(N332=0.75,($Q332="TRUE")),ABS('Per Diem Calc Tool'!$T332*0.75),IF($Q332="TRUE",ABS('Per Diem Calc Tool'!$T332),""))</f>
      </c>
    </row>
    <row r="333" spans="12:26" ht="13.5">
      <c r="L333" s="188"/>
      <c r="N333" s="235"/>
      <c r="O333" s="236" t="str">
        <f t="shared" si="19"/>
        <v>FALSE</v>
      </c>
      <c r="P333" s="236"/>
      <c r="Q333" s="236"/>
      <c r="R333" s="237">
        <f t="shared" si="16"/>
        <v>0</v>
      </c>
      <c r="S333" s="237">
        <f t="shared" si="17"/>
        <v>0</v>
      </c>
      <c r="T333" s="237">
        <f t="shared" si="18"/>
        <v>0</v>
      </c>
      <c r="U333" s="238" t="e">
        <f>(VLOOKUP($P$9,Per_diem_table,1)*N333)-SUM((X333,Y333,Z333))</f>
        <v>#REF!</v>
      </c>
      <c r="V333" s="237"/>
      <c r="X333" s="170">
        <f>IF(AND(N333=0.75,($O333="TRUE")),ABS('Per Diem Calc Tool'!$R333*0.75),IF($O333="TRUE",ABS('Per Diem Calc Tool'!$R333),""))</f>
      </c>
      <c r="Y333" s="170">
        <f>IF(AND(N333=0.75,($P333="TRUE")),ABS('Per Diem Calc Tool'!$S333*0.75),IF($P333="TRUE",ABS('Per Diem Calc Tool'!$S333),""))</f>
      </c>
      <c r="Z333" s="170">
        <f>IF(AND(N333=0.75,($Q333="TRUE")),ABS('Per Diem Calc Tool'!$T333*0.75),IF($Q333="TRUE",ABS('Per Diem Calc Tool'!$T333),""))</f>
      </c>
    </row>
    <row r="334" spans="12:26" ht="13.5">
      <c r="L334" s="188">
        <v>105</v>
      </c>
      <c r="M334" s="169" t="b">
        <f>+L334&lt;=$O$7</f>
        <v>0</v>
      </c>
      <c r="N334" s="235">
        <f>IF(L334=$O$7,0.75,1)</f>
        <v>1</v>
      </c>
      <c r="O334" s="236" t="str">
        <f>IF(B284="X","TRUE","FALSE")</f>
        <v>FALSE</v>
      </c>
      <c r="P334" s="236" t="str">
        <f>IF(C334="X","TRUE","FALSE")</f>
        <v>FALSE</v>
      </c>
      <c r="Q334" s="236" t="str">
        <f>IF(D334="X","TRUE","FALSE")</f>
        <v>FALSE</v>
      </c>
      <c r="R334" s="237">
        <f t="shared" si="16"/>
        <v>0</v>
      </c>
      <c r="S334" s="237">
        <f t="shared" si="17"/>
        <v>0</v>
      </c>
      <c r="T334" s="237">
        <f t="shared" si="18"/>
        <v>0</v>
      </c>
      <c r="U334" s="238" t="e">
        <f>(VLOOKUP($P$9,Per_diem_table,1)*N334)-SUM((X334,Y334,Z334))</f>
        <v>#REF!</v>
      </c>
      <c r="V334" s="237" t="e">
        <f>IF(U334&lt;5,5,U334)</f>
        <v>#REF!</v>
      </c>
      <c r="X334" s="170">
        <f>IF(AND(N334=0.75,($O334="TRUE")),ABS('Per Diem Calc Tool'!$R334*0.75),IF($O334="TRUE",ABS('Per Diem Calc Tool'!$R334),""))</f>
      </c>
      <c r="Y334" s="170">
        <f>IF(AND(N334=0.75,($P334="TRUE")),ABS('Per Diem Calc Tool'!$S334*0.75),IF($P334="TRUE",ABS('Per Diem Calc Tool'!$S334),""))</f>
      </c>
      <c r="Z334" s="170">
        <f>IF(AND(N334=0.75,($Q334="TRUE")),ABS('Per Diem Calc Tool'!$T334*0.75),IF($Q334="TRUE",ABS('Per Diem Calc Tool'!$T334),""))</f>
      </c>
    </row>
    <row r="335" spans="12:26" ht="13.5">
      <c r="L335" s="188"/>
      <c r="N335" s="235"/>
      <c r="O335" s="236" t="str">
        <f t="shared" si="19"/>
        <v>FALSE</v>
      </c>
      <c r="P335" s="236"/>
      <c r="Q335" s="236"/>
      <c r="R335" s="237">
        <f t="shared" si="16"/>
        <v>0</v>
      </c>
      <c r="S335" s="237">
        <f t="shared" si="17"/>
        <v>0</v>
      </c>
      <c r="T335" s="237">
        <f t="shared" si="18"/>
        <v>0</v>
      </c>
      <c r="U335" s="238" t="e">
        <f>(VLOOKUP($P$9,Per_diem_table,1)*N335)-SUM((X335,Y335,Z335))</f>
        <v>#REF!</v>
      </c>
      <c r="V335" s="237"/>
      <c r="X335" s="170">
        <f>IF(AND(N335=0.75,($O335="TRUE")),ABS('Per Diem Calc Tool'!$R335*0.75),IF($O335="TRUE",ABS('Per Diem Calc Tool'!$R335),""))</f>
      </c>
      <c r="Y335" s="170">
        <f>IF(AND(N335=0.75,($P335="TRUE")),ABS('Per Diem Calc Tool'!$S335*0.75),IF($P335="TRUE",ABS('Per Diem Calc Tool'!$S335),""))</f>
      </c>
      <c r="Z335" s="170">
        <f>IF(AND(N335=0.75,($Q335="TRUE")),ABS('Per Diem Calc Tool'!$T335*0.75),IF($Q335="TRUE",ABS('Per Diem Calc Tool'!$T335),""))</f>
      </c>
    </row>
    <row r="336" spans="12:26" ht="13.5">
      <c r="L336" s="188"/>
      <c r="N336" s="235"/>
      <c r="O336" s="236" t="str">
        <f t="shared" si="19"/>
        <v>FALSE</v>
      </c>
      <c r="P336" s="236"/>
      <c r="Q336" s="236"/>
      <c r="R336" s="237">
        <f t="shared" si="16"/>
        <v>0</v>
      </c>
      <c r="S336" s="237">
        <f t="shared" si="17"/>
        <v>0</v>
      </c>
      <c r="T336" s="237">
        <f t="shared" si="18"/>
        <v>0</v>
      </c>
      <c r="U336" s="238" t="e">
        <f>(VLOOKUP($P$9,Per_diem_table,1)*N336)-SUM((X336,Y336,Z336))</f>
        <v>#REF!</v>
      </c>
      <c r="V336" s="237"/>
      <c r="X336" s="170">
        <f>IF(AND(N336=0.75,($O336="TRUE")),ABS('Per Diem Calc Tool'!$R336*0.75),IF($O336="TRUE",ABS('Per Diem Calc Tool'!$R336),""))</f>
      </c>
      <c r="Y336" s="170">
        <f>IF(AND(N336=0.75,($P336="TRUE")),ABS('Per Diem Calc Tool'!$S336*0.75),IF($P336="TRUE",ABS('Per Diem Calc Tool'!$S336),""))</f>
      </c>
      <c r="Z336" s="170">
        <f>IF(AND(N336=0.75,($Q336="TRUE")),ABS('Per Diem Calc Tool'!$T336*0.75),IF($Q336="TRUE",ABS('Per Diem Calc Tool'!$T336),""))</f>
      </c>
    </row>
    <row r="337" spans="12:26" ht="13.5">
      <c r="L337" s="188">
        <v>106</v>
      </c>
      <c r="M337" s="169" t="b">
        <f>+L337&lt;=$O$7</f>
        <v>0</v>
      </c>
      <c r="N337" s="235">
        <f>IF(L337=$O$7,0.75,1)</f>
        <v>1</v>
      </c>
      <c r="O337" s="236" t="str">
        <f>IF(B287="X","TRUE","FALSE")</f>
        <v>FALSE</v>
      </c>
      <c r="P337" s="236" t="str">
        <f>IF(C335="X","TRUE","FALSE")</f>
        <v>FALSE</v>
      </c>
      <c r="Q337" s="236" t="str">
        <f>IF(D335="X","TRUE","FALSE")</f>
        <v>FALSE</v>
      </c>
      <c r="R337" s="237">
        <f t="shared" si="16"/>
        <v>0</v>
      </c>
      <c r="S337" s="237">
        <f t="shared" si="17"/>
        <v>0</v>
      </c>
      <c r="T337" s="237">
        <f t="shared" si="18"/>
        <v>0</v>
      </c>
      <c r="U337" s="238" t="e">
        <f>(VLOOKUP($P$9,Per_diem_table,1)*N337)-SUM((X337,Y337,Z337))</f>
        <v>#REF!</v>
      </c>
      <c r="V337" s="237" t="e">
        <f>IF(U337&lt;5,5,U337)</f>
        <v>#REF!</v>
      </c>
      <c r="X337" s="170">
        <f>IF(AND(N337=0.75,($O337="TRUE")),ABS('Per Diem Calc Tool'!$R337*0.75),IF($O337="TRUE",ABS('Per Diem Calc Tool'!$R337),""))</f>
      </c>
      <c r="Y337" s="170">
        <f>IF(AND(N337=0.75,($P337="TRUE")),ABS('Per Diem Calc Tool'!$S337*0.75),IF($P337="TRUE",ABS('Per Diem Calc Tool'!$S337),""))</f>
      </c>
      <c r="Z337" s="170">
        <f>IF(AND(N337=0.75,($Q337="TRUE")),ABS('Per Diem Calc Tool'!$T337*0.75),IF($Q337="TRUE",ABS('Per Diem Calc Tool'!$T337),""))</f>
      </c>
    </row>
    <row r="338" spans="12:26" ht="13.5">
      <c r="L338" s="188"/>
      <c r="N338" s="235"/>
      <c r="O338" s="236" t="str">
        <f t="shared" si="19"/>
        <v>FALSE</v>
      </c>
      <c r="P338" s="236"/>
      <c r="Q338" s="236"/>
      <c r="R338" s="237">
        <f t="shared" si="16"/>
        <v>0</v>
      </c>
      <c r="S338" s="237">
        <f t="shared" si="17"/>
        <v>0</v>
      </c>
      <c r="T338" s="237">
        <f t="shared" si="18"/>
        <v>0</v>
      </c>
      <c r="U338" s="238" t="e">
        <f>(VLOOKUP($P$9,Per_diem_table,1)*N338)-SUM((X338,Y338,Z338))</f>
        <v>#REF!</v>
      </c>
      <c r="V338" s="237"/>
      <c r="X338" s="170">
        <f>IF(AND(N338=0.75,($O338="TRUE")),ABS('Per Diem Calc Tool'!$R338*0.75),IF($O338="TRUE",ABS('Per Diem Calc Tool'!$R338),""))</f>
      </c>
      <c r="Y338" s="170">
        <f>IF(AND(N338=0.75,($P338="TRUE")),ABS('Per Diem Calc Tool'!$S338*0.75),IF($P338="TRUE",ABS('Per Diem Calc Tool'!$S338),""))</f>
      </c>
      <c r="Z338" s="170">
        <f>IF(AND(N338=0.75,($Q338="TRUE")),ABS('Per Diem Calc Tool'!$T338*0.75),IF($Q338="TRUE",ABS('Per Diem Calc Tool'!$T338),""))</f>
      </c>
    </row>
    <row r="339" spans="12:26" ht="13.5">
      <c r="L339" s="188"/>
      <c r="N339" s="235"/>
      <c r="O339" s="236" t="str">
        <f t="shared" si="19"/>
        <v>FALSE</v>
      </c>
      <c r="P339" s="236"/>
      <c r="Q339" s="236"/>
      <c r="R339" s="237">
        <f aca="true" t="shared" si="20" ref="R339:R379">IF(O339="TRUE",-VLOOKUP($P$9,Per_diem_table,2),0)</f>
        <v>0</v>
      </c>
      <c r="S339" s="237">
        <f aca="true" t="shared" si="21" ref="S339:S379">IF(P339="TRUE",-VLOOKUP($P$9,Per_diem_table,3),0)</f>
        <v>0</v>
      </c>
      <c r="T339" s="237">
        <f aca="true" t="shared" si="22" ref="T339:T379">IF(Q339="TRUE",-VLOOKUP($P$9,Per_diem_table,4),0)</f>
        <v>0</v>
      </c>
      <c r="U339" s="238" t="e">
        <f>(VLOOKUP($P$9,Per_diem_table,1)*N339)-SUM((X339,Y339,Z339))</f>
        <v>#REF!</v>
      </c>
      <c r="V339" s="237"/>
      <c r="X339" s="170">
        <f>IF(AND(N339=0.75,($O339="TRUE")),ABS('Per Diem Calc Tool'!$R339*0.75),IF($O339="TRUE",ABS('Per Diem Calc Tool'!$R339),""))</f>
      </c>
      <c r="Y339" s="170">
        <f>IF(AND(N339=0.75,($P339="TRUE")),ABS('Per Diem Calc Tool'!$S339*0.75),IF($P339="TRUE",ABS('Per Diem Calc Tool'!$S339),""))</f>
      </c>
      <c r="Z339" s="170">
        <f>IF(AND(N339=0.75,($Q339="TRUE")),ABS('Per Diem Calc Tool'!$T339*0.75),IF($Q339="TRUE",ABS('Per Diem Calc Tool'!$T339),""))</f>
      </c>
    </row>
    <row r="340" spans="12:26" ht="13.5">
      <c r="L340" s="188">
        <v>107</v>
      </c>
      <c r="M340" s="169" t="b">
        <f>+L340&lt;=$O$7</f>
        <v>0</v>
      </c>
      <c r="N340" s="235">
        <f>IF(L340=$O$7,0.75,1)</f>
        <v>1</v>
      </c>
      <c r="O340" s="236" t="str">
        <f>IF(B290="X","TRUE","FALSE")</f>
        <v>FALSE</v>
      </c>
      <c r="P340" s="236" t="str">
        <f>IF(C336="X","TRUE","FALSE")</f>
        <v>FALSE</v>
      </c>
      <c r="Q340" s="236" t="str">
        <f>IF(D336="X","TRUE","FALSE")</f>
        <v>FALSE</v>
      </c>
      <c r="R340" s="237">
        <f t="shared" si="20"/>
        <v>0</v>
      </c>
      <c r="S340" s="237">
        <f t="shared" si="21"/>
        <v>0</v>
      </c>
      <c r="T340" s="237">
        <f t="shared" si="22"/>
        <v>0</v>
      </c>
      <c r="U340" s="238" t="e">
        <f>(VLOOKUP($P$9,Per_diem_table,1)*N340)-SUM((X340,Y340,Z340))</f>
        <v>#REF!</v>
      </c>
      <c r="V340" s="237" t="e">
        <f>IF(U340&lt;5,5,U340)</f>
        <v>#REF!</v>
      </c>
      <c r="X340" s="170">
        <f>IF(AND(N340=0.75,($O340="TRUE")),ABS('Per Diem Calc Tool'!$R340*0.75),IF($O340="TRUE",ABS('Per Diem Calc Tool'!$R340),""))</f>
      </c>
      <c r="Y340" s="170">
        <f>IF(AND(N340=0.75,($P340="TRUE")),ABS('Per Diem Calc Tool'!$S340*0.75),IF($P340="TRUE",ABS('Per Diem Calc Tool'!$S340),""))</f>
      </c>
      <c r="Z340" s="170">
        <f>IF(AND(N340=0.75,($Q340="TRUE")),ABS('Per Diem Calc Tool'!$T340*0.75),IF($Q340="TRUE",ABS('Per Diem Calc Tool'!$T340),""))</f>
      </c>
    </row>
    <row r="341" spans="12:26" ht="13.5">
      <c r="L341" s="188"/>
      <c r="N341" s="235"/>
      <c r="O341" s="236" t="str">
        <f t="shared" si="19"/>
        <v>FALSE</v>
      </c>
      <c r="P341" s="236"/>
      <c r="Q341" s="236"/>
      <c r="R341" s="237">
        <f t="shared" si="20"/>
        <v>0</v>
      </c>
      <c r="S341" s="237">
        <f t="shared" si="21"/>
        <v>0</v>
      </c>
      <c r="T341" s="237">
        <f t="shared" si="22"/>
        <v>0</v>
      </c>
      <c r="U341" s="238" t="e">
        <f>(VLOOKUP($P$9,Per_diem_table,1)*N341)-SUM((X341,Y341,Z341))</f>
        <v>#REF!</v>
      </c>
      <c r="V341" s="237"/>
      <c r="X341" s="170">
        <f>IF(AND(N341=0.75,($O341="TRUE")),ABS('Per Diem Calc Tool'!$R341*0.75),IF($O341="TRUE",ABS('Per Diem Calc Tool'!$R341),""))</f>
      </c>
      <c r="Y341" s="170">
        <f>IF(AND(N341=0.75,($P341="TRUE")),ABS('Per Diem Calc Tool'!$S341*0.75),IF($P341="TRUE",ABS('Per Diem Calc Tool'!$S341),""))</f>
      </c>
      <c r="Z341" s="170">
        <f>IF(AND(N341=0.75,($Q341="TRUE")),ABS('Per Diem Calc Tool'!$T341*0.75),IF($Q341="TRUE",ABS('Per Diem Calc Tool'!$T341),""))</f>
      </c>
    </row>
    <row r="342" spans="12:26" ht="13.5">
      <c r="L342" s="188"/>
      <c r="N342" s="235"/>
      <c r="O342" s="236" t="str">
        <f aca="true" t="shared" si="23" ref="O342:O378">IF(B342="X","TRUE","FALSE")</f>
        <v>FALSE</v>
      </c>
      <c r="P342" s="236"/>
      <c r="Q342" s="236"/>
      <c r="R342" s="237">
        <f t="shared" si="20"/>
        <v>0</v>
      </c>
      <c r="S342" s="237">
        <f t="shared" si="21"/>
        <v>0</v>
      </c>
      <c r="T342" s="237">
        <f t="shared" si="22"/>
        <v>0</v>
      </c>
      <c r="U342" s="238" t="e">
        <f>(VLOOKUP($P$9,Per_diem_table,1)*N342)-SUM((X342,Y342,Z342))</f>
        <v>#REF!</v>
      </c>
      <c r="V342" s="237"/>
      <c r="X342" s="170">
        <f>IF(AND(N342=0.75,($O342="TRUE")),ABS('Per Diem Calc Tool'!$R342*0.75),IF($O342="TRUE",ABS('Per Diem Calc Tool'!$R342),""))</f>
      </c>
      <c r="Y342" s="170">
        <f>IF(AND(N342=0.75,($P342="TRUE")),ABS('Per Diem Calc Tool'!$S342*0.75),IF($P342="TRUE",ABS('Per Diem Calc Tool'!$S342),""))</f>
      </c>
      <c r="Z342" s="170">
        <f>IF(AND(N342=0.75,($Q342="TRUE")),ABS('Per Diem Calc Tool'!$T342*0.75),IF($Q342="TRUE",ABS('Per Diem Calc Tool'!$T342),""))</f>
      </c>
    </row>
    <row r="343" spans="12:26" ht="13.5">
      <c r="L343" s="188">
        <v>108</v>
      </c>
      <c r="M343" s="169" t="b">
        <f>+L343&lt;=$O$7</f>
        <v>0</v>
      </c>
      <c r="N343" s="235">
        <f>IF(L343=$O$7,0.75,1)</f>
        <v>1</v>
      </c>
      <c r="O343" s="236" t="str">
        <f>IF(B293="X","TRUE","FALSE")</f>
        <v>FALSE</v>
      </c>
      <c r="P343" s="236" t="str">
        <f>IF(C343="X","TRUE","FALSE")</f>
        <v>FALSE</v>
      </c>
      <c r="Q343" s="236" t="str">
        <f>IF(D343="X","TRUE","FALSE")</f>
        <v>FALSE</v>
      </c>
      <c r="R343" s="237">
        <f t="shared" si="20"/>
        <v>0</v>
      </c>
      <c r="S343" s="237">
        <f t="shared" si="21"/>
        <v>0</v>
      </c>
      <c r="T343" s="237">
        <f t="shared" si="22"/>
        <v>0</v>
      </c>
      <c r="U343" s="238" t="e">
        <f>(VLOOKUP($P$9,Per_diem_table,1)*N343)-SUM((X343,Y343,Z343))</f>
        <v>#REF!</v>
      </c>
      <c r="V343" s="237" t="e">
        <f>IF(U343&lt;5,5,U343)</f>
        <v>#REF!</v>
      </c>
      <c r="X343" s="170">
        <f>IF(AND(N343=0.75,($O343="TRUE")),ABS('Per Diem Calc Tool'!$R343*0.75),IF($O343="TRUE",ABS('Per Diem Calc Tool'!$R343),""))</f>
      </c>
      <c r="Y343" s="170">
        <f>IF(AND(N343=0.75,($P343="TRUE")),ABS('Per Diem Calc Tool'!$S343*0.75),IF($P343="TRUE",ABS('Per Diem Calc Tool'!$S343),""))</f>
      </c>
      <c r="Z343" s="170">
        <f>IF(AND(N343=0.75,($Q343="TRUE")),ABS('Per Diem Calc Tool'!$T343*0.75),IF($Q343="TRUE",ABS('Per Diem Calc Tool'!$T343),""))</f>
      </c>
    </row>
    <row r="344" spans="12:26" ht="13.5">
      <c r="L344" s="188"/>
      <c r="N344" s="235"/>
      <c r="O344" s="236" t="str">
        <f t="shared" si="23"/>
        <v>FALSE</v>
      </c>
      <c r="P344" s="236"/>
      <c r="Q344" s="236"/>
      <c r="R344" s="237">
        <f t="shared" si="20"/>
        <v>0</v>
      </c>
      <c r="S344" s="237">
        <f t="shared" si="21"/>
        <v>0</v>
      </c>
      <c r="T344" s="237">
        <f t="shared" si="22"/>
        <v>0</v>
      </c>
      <c r="U344" s="238" t="e">
        <f>(VLOOKUP($P$9,Per_diem_table,1)*N344)-SUM((X344,Y344,Z344))</f>
        <v>#REF!</v>
      </c>
      <c r="V344" s="237"/>
      <c r="X344" s="170">
        <f>IF(AND(N344=0.75,($O344="TRUE")),ABS('Per Diem Calc Tool'!$R344*0.75),IF($O344="TRUE",ABS('Per Diem Calc Tool'!$R344),""))</f>
      </c>
      <c r="Y344" s="170">
        <f>IF(AND(N344=0.75,($P344="TRUE")),ABS('Per Diem Calc Tool'!$S344*0.75),IF($P344="TRUE",ABS('Per Diem Calc Tool'!$S344),""))</f>
      </c>
      <c r="Z344" s="170">
        <f>IF(AND(N344=0.75,($Q344="TRUE")),ABS('Per Diem Calc Tool'!$T344*0.75),IF($Q344="TRUE",ABS('Per Diem Calc Tool'!$T344),""))</f>
      </c>
    </row>
    <row r="345" spans="12:26" ht="13.5">
      <c r="L345" s="188"/>
      <c r="N345" s="235"/>
      <c r="O345" s="236" t="str">
        <f t="shared" si="23"/>
        <v>FALSE</v>
      </c>
      <c r="P345" s="236"/>
      <c r="Q345" s="236"/>
      <c r="R345" s="237">
        <f t="shared" si="20"/>
        <v>0</v>
      </c>
      <c r="S345" s="237">
        <f t="shared" si="21"/>
        <v>0</v>
      </c>
      <c r="T345" s="237">
        <f t="shared" si="22"/>
        <v>0</v>
      </c>
      <c r="U345" s="238" t="e">
        <f>(VLOOKUP($P$9,Per_diem_table,1)*N345)-SUM((X345,Y345,Z345))</f>
        <v>#REF!</v>
      </c>
      <c r="V345" s="237"/>
      <c r="X345" s="170">
        <f>IF(AND(N345=0.75,($O345="TRUE")),ABS('Per Diem Calc Tool'!$R345*0.75),IF($O345="TRUE",ABS('Per Diem Calc Tool'!$R345),""))</f>
      </c>
      <c r="Y345" s="170">
        <f>IF(AND(N345=0.75,($P345="TRUE")),ABS('Per Diem Calc Tool'!$S345*0.75),IF($P345="TRUE",ABS('Per Diem Calc Tool'!$S345),""))</f>
      </c>
      <c r="Z345" s="170">
        <f>IF(AND(N345=0.75,($Q345="TRUE")),ABS('Per Diem Calc Tool'!$T345*0.75),IF($Q345="TRUE",ABS('Per Diem Calc Tool'!$T345),""))</f>
      </c>
    </row>
    <row r="346" spans="12:26" ht="13.5">
      <c r="L346" s="188">
        <v>109</v>
      </c>
      <c r="M346" s="169" t="b">
        <f>+L346&lt;=$O$7</f>
        <v>0</v>
      </c>
      <c r="N346" s="235">
        <f>IF(L346=$O$7,0.75,1)</f>
        <v>1</v>
      </c>
      <c r="O346" s="236" t="str">
        <f>IF(B296="X","TRUE","FALSE")</f>
        <v>FALSE</v>
      </c>
      <c r="P346" s="236" t="str">
        <f>IF(C344="X","TRUE","FALSE")</f>
        <v>FALSE</v>
      </c>
      <c r="Q346" s="236" t="str">
        <f>IF(D344="X","TRUE","FALSE")</f>
        <v>FALSE</v>
      </c>
      <c r="R346" s="237">
        <f t="shared" si="20"/>
        <v>0</v>
      </c>
      <c r="S346" s="237">
        <f t="shared" si="21"/>
        <v>0</v>
      </c>
      <c r="T346" s="237">
        <f t="shared" si="22"/>
        <v>0</v>
      </c>
      <c r="U346" s="238" t="e">
        <f>(VLOOKUP($P$9,Per_diem_table,1)*N346)-SUM((X346,Y346,Z346))</f>
        <v>#REF!</v>
      </c>
      <c r="V346" s="237" t="e">
        <f>IF(U346&lt;5,5,U346)</f>
        <v>#REF!</v>
      </c>
      <c r="X346" s="170">
        <f>IF(AND(N346=0.75,($O346="TRUE")),ABS('Per Diem Calc Tool'!$R346*0.75),IF($O346="TRUE",ABS('Per Diem Calc Tool'!$R346),""))</f>
      </c>
      <c r="Y346" s="170">
        <f>IF(AND(N346=0.75,($P346="TRUE")),ABS('Per Diem Calc Tool'!$S346*0.75),IF($P346="TRUE",ABS('Per Diem Calc Tool'!$S346),""))</f>
      </c>
      <c r="Z346" s="170">
        <f>IF(AND(N346=0.75,($Q346="TRUE")),ABS('Per Diem Calc Tool'!$T346*0.75),IF($Q346="TRUE",ABS('Per Diem Calc Tool'!$T346),""))</f>
      </c>
    </row>
    <row r="347" spans="12:26" ht="13.5">
      <c r="L347" s="188"/>
      <c r="N347" s="235"/>
      <c r="O347" s="236" t="str">
        <f t="shared" si="23"/>
        <v>FALSE</v>
      </c>
      <c r="P347" s="236"/>
      <c r="Q347" s="236"/>
      <c r="R347" s="237">
        <f t="shared" si="20"/>
        <v>0</v>
      </c>
      <c r="S347" s="237">
        <f t="shared" si="21"/>
        <v>0</v>
      </c>
      <c r="T347" s="237">
        <f t="shared" si="22"/>
        <v>0</v>
      </c>
      <c r="U347" s="238" t="e">
        <f>(VLOOKUP($P$9,Per_diem_table,1)*N347)-SUM((X347,Y347,Z347))</f>
        <v>#REF!</v>
      </c>
      <c r="V347" s="237"/>
      <c r="X347" s="170">
        <f>IF(AND(N347=0.75,($O347="TRUE")),ABS('Per Diem Calc Tool'!$R347*0.75),IF($O347="TRUE",ABS('Per Diem Calc Tool'!$R347),""))</f>
      </c>
      <c r="Y347" s="170">
        <f>IF(AND(N347=0.75,($P347="TRUE")),ABS('Per Diem Calc Tool'!$S347*0.75),IF($P347="TRUE",ABS('Per Diem Calc Tool'!$S347),""))</f>
      </c>
      <c r="Z347" s="170">
        <f>IF(AND(N347=0.75,($Q347="TRUE")),ABS('Per Diem Calc Tool'!$T347*0.75),IF($Q347="TRUE",ABS('Per Diem Calc Tool'!$T347),""))</f>
      </c>
    </row>
    <row r="348" spans="12:26" ht="13.5">
      <c r="L348" s="188"/>
      <c r="N348" s="235"/>
      <c r="O348" s="236" t="str">
        <f t="shared" si="23"/>
        <v>FALSE</v>
      </c>
      <c r="P348" s="236"/>
      <c r="Q348" s="236"/>
      <c r="R348" s="237">
        <f t="shared" si="20"/>
        <v>0</v>
      </c>
      <c r="S348" s="237">
        <f t="shared" si="21"/>
        <v>0</v>
      </c>
      <c r="T348" s="237">
        <f t="shared" si="22"/>
        <v>0</v>
      </c>
      <c r="U348" s="238" t="e">
        <f>(VLOOKUP($P$9,Per_diem_table,1)*N348)-SUM((X348,Y348,Z348))</f>
        <v>#REF!</v>
      </c>
      <c r="V348" s="237"/>
      <c r="X348" s="170">
        <f>IF(AND(N348=0.75,($O348="TRUE")),ABS('Per Diem Calc Tool'!$R348*0.75),IF($O348="TRUE",ABS('Per Diem Calc Tool'!$R348),""))</f>
      </c>
      <c r="Y348" s="170">
        <f>IF(AND(N348=0.75,($P348="TRUE")),ABS('Per Diem Calc Tool'!$S348*0.75),IF($P348="TRUE",ABS('Per Diem Calc Tool'!$S348),""))</f>
      </c>
      <c r="Z348" s="170">
        <f>IF(AND(N348=0.75,($Q348="TRUE")),ABS('Per Diem Calc Tool'!$T348*0.75),IF($Q348="TRUE",ABS('Per Diem Calc Tool'!$T348),""))</f>
      </c>
    </row>
    <row r="349" spans="12:26" ht="13.5">
      <c r="L349" s="188">
        <v>110</v>
      </c>
      <c r="M349" s="169" t="b">
        <f>+L349&lt;=$O$7</f>
        <v>0</v>
      </c>
      <c r="N349" s="235">
        <f>IF(L349=$O$7,0.75,1)</f>
        <v>1</v>
      </c>
      <c r="O349" s="236" t="str">
        <f>IF(B299="X","TRUE","FALSE")</f>
        <v>FALSE</v>
      </c>
      <c r="P349" s="236" t="str">
        <f>IF(C345="X","TRUE","FALSE")</f>
        <v>FALSE</v>
      </c>
      <c r="Q349" s="236" t="str">
        <f>IF(D345="X","TRUE","FALSE")</f>
        <v>FALSE</v>
      </c>
      <c r="R349" s="237">
        <f t="shared" si="20"/>
        <v>0</v>
      </c>
      <c r="S349" s="237">
        <f t="shared" si="21"/>
        <v>0</v>
      </c>
      <c r="T349" s="237">
        <f t="shared" si="22"/>
        <v>0</v>
      </c>
      <c r="U349" s="238" t="e">
        <f>(VLOOKUP($P$9,Per_diem_table,1)*N349)-SUM((X349,Y349,Z349))</f>
        <v>#REF!</v>
      </c>
      <c r="V349" s="237" t="e">
        <f>IF(U349&lt;5,5,U349)</f>
        <v>#REF!</v>
      </c>
      <c r="X349" s="170">
        <f>IF(AND(N349=0.75,($O349="TRUE")),ABS('Per Diem Calc Tool'!$R349*0.75),IF($O349="TRUE",ABS('Per Diem Calc Tool'!$R349),""))</f>
      </c>
      <c r="Y349" s="170">
        <f>IF(AND(N349=0.75,($P349="TRUE")),ABS('Per Diem Calc Tool'!$S349*0.75),IF($P349="TRUE",ABS('Per Diem Calc Tool'!$S349),""))</f>
      </c>
      <c r="Z349" s="170">
        <f>IF(AND(N349=0.75,($Q349="TRUE")),ABS('Per Diem Calc Tool'!$T349*0.75),IF($Q349="TRUE",ABS('Per Diem Calc Tool'!$T349),""))</f>
      </c>
    </row>
    <row r="350" spans="12:26" ht="13.5">
      <c r="L350" s="188"/>
      <c r="N350" s="235"/>
      <c r="O350" s="236" t="str">
        <f t="shared" si="23"/>
        <v>FALSE</v>
      </c>
      <c r="P350" s="236"/>
      <c r="Q350" s="236"/>
      <c r="R350" s="237">
        <f t="shared" si="20"/>
        <v>0</v>
      </c>
      <c r="S350" s="237">
        <f t="shared" si="21"/>
        <v>0</v>
      </c>
      <c r="T350" s="237">
        <f t="shared" si="22"/>
        <v>0</v>
      </c>
      <c r="U350" s="238" t="e">
        <f>(VLOOKUP($P$9,Per_diem_table,1)*N350)-SUM((X350,Y350,Z350))</f>
        <v>#REF!</v>
      </c>
      <c r="V350" s="237"/>
      <c r="X350" s="170">
        <f>IF(AND(N350=0.75,($O350="TRUE")),ABS('Per Diem Calc Tool'!$R350*0.75),IF($O350="TRUE",ABS('Per Diem Calc Tool'!$R350),""))</f>
      </c>
      <c r="Y350" s="170">
        <f>IF(AND(N350=0.75,($P350="TRUE")),ABS('Per Diem Calc Tool'!$S350*0.75),IF($P350="TRUE",ABS('Per Diem Calc Tool'!$S350),""))</f>
      </c>
      <c r="Z350" s="170">
        <f>IF(AND(N350=0.75,($Q350="TRUE")),ABS('Per Diem Calc Tool'!$T350*0.75),IF($Q350="TRUE",ABS('Per Diem Calc Tool'!$T350),""))</f>
      </c>
    </row>
    <row r="351" spans="12:26" ht="13.5">
      <c r="L351" s="188"/>
      <c r="N351" s="235"/>
      <c r="O351" s="236" t="str">
        <f t="shared" si="23"/>
        <v>FALSE</v>
      </c>
      <c r="P351" s="236"/>
      <c r="Q351" s="236"/>
      <c r="R351" s="237">
        <f t="shared" si="20"/>
        <v>0</v>
      </c>
      <c r="S351" s="237">
        <f t="shared" si="21"/>
        <v>0</v>
      </c>
      <c r="T351" s="237">
        <f t="shared" si="22"/>
        <v>0</v>
      </c>
      <c r="U351" s="238" t="e">
        <f>(VLOOKUP($P$9,Per_diem_table,1)*N351)-SUM((X351,Y351,Z351))</f>
        <v>#REF!</v>
      </c>
      <c r="V351" s="237"/>
      <c r="X351" s="170">
        <f>IF(AND(N351=0.75,($O351="TRUE")),ABS('Per Diem Calc Tool'!$R351*0.75),IF($O351="TRUE",ABS('Per Diem Calc Tool'!$R351),""))</f>
      </c>
      <c r="Y351" s="170">
        <f>IF(AND(N351=0.75,($P351="TRUE")),ABS('Per Diem Calc Tool'!$S351*0.75),IF($P351="TRUE",ABS('Per Diem Calc Tool'!$S351),""))</f>
      </c>
      <c r="Z351" s="170">
        <f>IF(AND(N351=0.75,($Q351="TRUE")),ABS('Per Diem Calc Tool'!$T351*0.75),IF($Q351="TRUE",ABS('Per Diem Calc Tool'!$T351),""))</f>
      </c>
    </row>
    <row r="352" spans="12:26" ht="13.5">
      <c r="L352" s="188">
        <v>111</v>
      </c>
      <c r="M352" s="169" t="b">
        <f>+L352&lt;=$O$7</f>
        <v>0</v>
      </c>
      <c r="N352" s="235">
        <f>IF(L352=$O$7,0.75,1)</f>
        <v>1</v>
      </c>
      <c r="O352" s="236" t="str">
        <f>IF(B302="X","TRUE","FALSE")</f>
        <v>FALSE</v>
      </c>
      <c r="P352" s="236" t="str">
        <f>IF(C352="X","TRUE","FALSE")</f>
        <v>FALSE</v>
      </c>
      <c r="Q352" s="236" t="str">
        <f>IF(D352="X","TRUE","FALSE")</f>
        <v>FALSE</v>
      </c>
      <c r="R352" s="237">
        <f t="shared" si="20"/>
        <v>0</v>
      </c>
      <c r="S352" s="237">
        <f t="shared" si="21"/>
        <v>0</v>
      </c>
      <c r="T352" s="237">
        <f t="shared" si="22"/>
        <v>0</v>
      </c>
      <c r="U352" s="238" t="e">
        <f>(VLOOKUP($P$9,Per_diem_table,1)*N352)-SUM((X352,Y352,Z352))</f>
        <v>#REF!</v>
      </c>
      <c r="V352" s="237" t="e">
        <f>IF(U352&lt;5,5,U352)</f>
        <v>#REF!</v>
      </c>
      <c r="X352" s="170">
        <f>IF(AND(N352=0.75,($O352="TRUE")),ABS('Per Diem Calc Tool'!$R352*0.75),IF($O352="TRUE",ABS('Per Diem Calc Tool'!$R352),""))</f>
      </c>
      <c r="Y352" s="170">
        <f>IF(AND(N352=0.75,($P352="TRUE")),ABS('Per Diem Calc Tool'!$S352*0.75),IF($P352="TRUE",ABS('Per Diem Calc Tool'!$S352),""))</f>
      </c>
      <c r="Z352" s="170">
        <f>IF(AND(N352=0.75,($Q352="TRUE")),ABS('Per Diem Calc Tool'!$T352*0.75),IF($Q352="TRUE",ABS('Per Diem Calc Tool'!$T352),""))</f>
      </c>
    </row>
    <row r="353" spans="12:26" ht="13.5">
      <c r="L353" s="188"/>
      <c r="N353" s="235"/>
      <c r="O353" s="236" t="str">
        <f t="shared" si="23"/>
        <v>FALSE</v>
      </c>
      <c r="P353" s="236"/>
      <c r="Q353" s="236"/>
      <c r="R353" s="237">
        <f t="shared" si="20"/>
        <v>0</v>
      </c>
      <c r="S353" s="237">
        <f t="shared" si="21"/>
        <v>0</v>
      </c>
      <c r="T353" s="237">
        <f t="shared" si="22"/>
        <v>0</v>
      </c>
      <c r="U353" s="238" t="e">
        <f>(VLOOKUP($P$9,Per_diem_table,1)*N353)-SUM((X353,Y353,Z353))</f>
        <v>#REF!</v>
      </c>
      <c r="V353" s="237"/>
      <c r="X353" s="170">
        <f>IF(AND(N353=0.75,($O353="TRUE")),ABS('Per Diem Calc Tool'!$R353*0.75),IF($O353="TRUE",ABS('Per Diem Calc Tool'!$R353),""))</f>
      </c>
      <c r="Y353" s="170">
        <f>IF(AND(N353=0.75,($P353="TRUE")),ABS('Per Diem Calc Tool'!$S353*0.75),IF($P353="TRUE",ABS('Per Diem Calc Tool'!$S353),""))</f>
      </c>
      <c r="Z353" s="170">
        <f>IF(AND(N353=0.75,($Q353="TRUE")),ABS('Per Diem Calc Tool'!$T353*0.75),IF($Q353="TRUE",ABS('Per Diem Calc Tool'!$T353),""))</f>
      </c>
    </row>
    <row r="354" spans="12:26" ht="13.5">
      <c r="L354" s="188"/>
      <c r="N354" s="235"/>
      <c r="O354" s="236" t="str">
        <f t="shared" si="23"/>
        <v>FALSE</v>
      </c>
      <c r="P354" s="236"/>
      <c r="Q354" s="236"/>
      <c r="R354" s="237">
        <f t="shared" si="20"/>
        <v>0</v>
      </c>
      <c r="S354" s="237">
        <f t="shared" si="21"/>
        <v>0</v>
      </c>
      <c r="T354" s="237">
        <f t="shared" si="22"/>
        <v>0</v>
      </c>
      <c r="U354" s="238" t="e">
        <f>(VLOOKUP($P$9,Per_diem_table,1)*N354)-SUM((X354,Y354,Z354))</f>
        <v>#REF!</v>
      </c>
      <c r="V354" s="237"/>
      <c r="X354" s="170">
        <f>IF(AND(N354=0.75,($O354="TRUE")),ABS('Per Diem Calc Tool'!$R354*0.75),IF($O354="TRUE",ABS('Per Diem Calc Tool'!$R354),""))</f>
      </c>
      <c r="Y354" s="170">
        <f>IF(AND(N354=0.75,($P354="TRUE")),ABS('Per Diem Calc Tool'!$S354*0.75),IF($P354="TRUE",ABS('Per Diem Calc Tool'!$S354),""))</f>
      </c>
      <c r="Z354" s="170">
        <f>IF(AND(N354=0.75,($Q354="TRUE")),ABS('Per Diem Calc Tool'!$T354*0.75),IF($Q354="TRUE",ABS('Per Diem Calc Tool'!$T354),""))</f>
      </c>
    </row>
    <row r="355" spans="12:26" ht="13.5">
      <c r="L355" s="188">
        <v>112</v>
      </c>
      <c r="M355" s="169" t="b">
        <f>+L355&lt;=$O$7</f>
        <v>0</v>
      </c>
      <c r="N355" s="235">
        <f>IF(L355=$O$7,0.75,1)</f>
        <v>1</v>
      </c>
      <c r="O355" s="236" t="str">
        <f>IF(B305="X","TRUE","FALSE")</f>
        <v>FALSE</v>
      </c>
      <c r="P355" s="236" t="str">
        <f>IF(C353="X","TRUE","FALSE")</f>
        <v>FALSE</v>
      </c>
      <c r="Q355" s="236" t="str">
        <f>IF(D353="X","TRUE","FALSE")</f>
        <v>FALSE</v>
      </c>
      <c r="R355" s="237">
        <f t="shared" si="20"/>
        <v>0</v>
      </c>
      <c r="S355" s="237">
        <f t="shared" si="21"/>
        <v>0</v>
      </c>
      <c r="T355" s="237">
        <f t="shared" si="22"/>
        <v>0</v>
      </c>
      <c r="U355" s="238" t="e">
        <f>(VLOOKUP($P$9,Per_diem_table,1)*N355)-SUM((X355,Y355,Z355))</f>
        <v>#REF!</v>
      </c>
      <c r="V355" s="237" t="e">
        <f>IF(U355&lt;5,5,U355)</f>
        <v>#REF!</v>
      </c>
      <c r="X355" s="170">
        <f>IF(AND(N355=0.75,($O355="TRUE")),ABS('Per Diem Calc Tool'!$R355*0.75),IF($O355="TRUE",ABS('Per Diem Calc Tool'!$R355),""))</f>
      </c>
      <c r="Y355" s="170">
        <f>IF(AND(N355=0.75,($P355="TRUE")),ABS('Per Diem Calc Tool'!$S355*0.75),IF($P355="TRUE",ABS('Per Diem Calc Tool'!$S355),""))</f>
      </c>
      <c r="Z355" s="170">
        <f>IF(AND(N355=0.75,($Q355="TRUE")),ABS('Per Diem Calc Tool'!$T355*0.75),IF($Q355="TRUE",ABS('Per Diem Calc Tool'!$T355),""))</f>
      </c>
    </row>
    <row r="356" spans="12:26" ht="13.5">
      <c r="L356" s="188"/>
      <c r="N356" s="235"/>
      <c r="O356" s="236" t="str">
        <f t="shared" si="23"/>
        <v>FALSE</v>
      </c>
      <c r="P356" s="236"/>
      <c r="Q356" s="236"/>
      <c r="R356" s="237">
        <f t="shared" si="20"/>
        <v>0</v>
      </c>
      <c r="S356" s="237">
        <f t="shared" si="21"/>
        <v>0</v>
      </c>
      <c r="T356" s="237">
        <f t="shared" si="22"/>
        <v>0</v>
      </c>
      <c r="U356" s="238" t="e">
        <f>(VLOOKUP($P$9,Per_diem_table,1)*N356)-SUM((X356,Y356,Z356))</f>
        <v>#REF!</v>
      </c>
      <c r="V356" s="237"/>
      <c r="X356" s="170">
        <f>IF(AND(N356=0.75,($O356="TRUE")),ABS('Per Diem Calc Tool'!$R356*0.75),IF($O356="TRUE",ABS('Per Diem Calc Tool'!$R356),""))</f>
      </c>
      <c r="Y356" s="170">
        <f>IF(AND(N356=0.75,($P356="TRUE")),ABS('Per Diem Calc Tool'!$S356*0.75),IF($P356="TRUE",ABS('Per Diem Calc Tool'!$S356),""))</f>
      </c>
      <c r="Z356" s="170">
        <f>IF(AND(N356=0.75,($Q356="TRUE")),ABS('Per Diem Calc Tool'!$T356*0.75),IF($Q356="TRUE",ABS('Per Diem Calc Tool'!$T356),""))</f>
      </c>
    </row>
    <row r="357" spans="12:26" ht="13.5">
      <c r="L357" s="188"/>
      <c r="N357" s="235"/>
      <c r="O357" s="236" t="str">
        <f t="shared" si="23"/>
        <v>FALSE</v>
      </c>
      <c r="P357" s="236"/>
      <c r="Q357" s="236"/>
      <c r="R357" s="237">
        <f t="shared" si="20"/>
        <v>0</v>
      </c>
      <c r="S357" s="237">
        <f t="shared" si="21"/>
        <v>0</v>
      </c>
      <c r="T357" s="237">
        <f t="shared" si="22"/>
        <v>0</v>
      </c>
      <c r="U357" s="238" t="e">
        <f>(VLOOKUP($P$9,Per_diem_table,1)*N357)-SUM((X357,Y357,Z357))</f>
        <v>#REF!</v>
      </c>
      <c r="V357" s="237"/>
      <c r="X357" s="170">
        <f>IF(AND(N357=0.75,($O357="TRUE")),ABS('Per Diem Calc Tool'!$R357*0.75),IF($O357="TRUE",ABS('Per Diem Calc Tool'!$R357),""))</f>
      </c>
      <c r="Y357" s="170">
        <f>IF(AND(N357=0.75,($P357="TRUE")),ABS('Per Diem Calc Tool'!$S357*0.75),IF($P357="TRUE",ABS('Per Diem Calc Tool'!$S357),""))</f>
      </c>
      <c r="Z357" s="170">
        <f>IF(AND(N357=0.75,($Q357="TRUE")),ABS('Per Diem Calc Tool'!$T357*0.75),IF($Q357="TRUE",ABS('Per Diem Calc Tool'!$T357),""))</f>
      </c>
    </row>
    <row r="358" spans="12:26" ht="13.5">
      <c r="L358" s="188">
        <v>113</v>
      </c>
      <c r="M358" s="169" t="b">
        <f>+L358&lt;=$O$7</f>
        <v>0</v>
      </c>
      <c r="N358" s="235">
        <f>IF(L358=$O$7,0.75,1)</f>
        <v>1</v>
      </c>
      <c r="O358" s="236" t="str">
        <f>IF(B308="X","TRUE","FALSE")</f>
        <v>FALSE</v>
      </c>
      <c r="P358" s="236" t="str">
        <f>IF(C354="X","TRUE","FALSE")</f>
        <v>FALSE</v>
      </c>
      <c r="Q358" s="236" t="str">
        <f>IF(D354="X","TRUE","FALSE")</f>
        <v>FALSE</v>
      </c>
      <c r="R358" s="237">
        <f t="shared" si="20"/>
        <v>0</v>
      </c>
      <c r="S358" s="237">
        <f t="shared" si="21"/>
        <v>0</v>
      </c>
      <c r="T358" s="237">
        <f t="shared" si="22"/>
        <v>0</v>
      </c>
      <c r="U358" s="238" t="e">
        <f>(VLOOKUP($P$9,Per_diem_table,1)*N358)-SUM((X358,Y358,Z358))</f>
        <v>#REF!</v>
      </c>
      <c r="V358" s="237" t="e">
        <f>IF(U358&lt;5,5,U358)</f>
        <v>#REF!</v>
      </c>
      <c r="X358" s="170">
        <f>IF(AND(N358=0.75,($O358="TRUE")),ABS('Per Diem Calc Tool'!$R358*0.75),IF($O358="TRUE",ABS('Per Diem Calc Tool'!$R358),""))</f>
      </c>
      <c r="Y358" s="170">
        <f>IF(AND(N358=0.75,($P358="TRUE")),ABS('Per Diem Calc Tool'!$S358*0.75),IF($P358="TRUE",ABS('Per Diem Calc Tool'!$S358),""))</f>
      </c>
      <c r="Z358" s="170">
        <f>IF(AND(N358=0.75,($Q358="TRUE")),ABS('Per Diem Calc Tool'!$T358*0.75),IF($Q358="TRUE",ABS('Per Diem Calc Tool'!$T358),""))</f>
      </c>
    </row>
    <row r="359" spans="12:26" ht="13.5">
      <c r="L359" s="188"/>
      <c r="N359" s="235"/>
      <c r="O359" s="236" t="str">
        <f t="shared" si="23"/>
        <v>FALSE</v>
      </c>
      <c r="P359" s="236"/>
      <c r="Q359" s="236"/>
      <c r="R359" s="237">
        <f t="shared" si="20"/>
        <v>0</v>
      </c>
      <c r="S359" s="237">
        <f t="shared" si="21"/>
        <v>0</v>
      </c>
      <c r="T359" s="237">
        <f t="shared" si="22"/>
        <v>0</v>
      </c>
      <c r="U359" s="238" t="e">
        <f>(VLOOKUP($P$9,Per_diem_table,1)*N359)-SUM((X359,Y359,Z359))</f>
        <v>#REF!</v>
      </c>
      <c r="V359" s="237"/>
      <c r="X359" s="170">
        <f>IF(AND(N359=0.75,($O359="TRUE")),ABS('Per Diem Calc Tool'!$R359*0.75),IF($O359="TRUE",ABS('Per Diem Calc Tool'!$R359),""))</f>
      </c>
      <c r="Y359" s="170">
        <f>IF(AND(N359=0.75,($P359="TRUE")),ABS('Per Diem Calc Tool'!$S359*0.75),IF($P359="TRUE",ABS('Per Diem Calc Tool'!$S359),""))</f>
      </c>
      <c r="Z359" s="170">
        <f>IF(AND(N359=0.75,($Q359="TRUE")),ABS('Per Diem Calc Tool'!$T359*0.75),IF($Q359="TRUE",ABS('Per Diem Calc Tool'!$T359),""))</f>
      </c>
    </row>
    <row r="360" spans="12:26" ht="13.5">
      <c r="L360" s="188"/>
      <c r="N360" s="235"/>
      <c r="O360" s="236" t="str">
        <f t="shared" si="23"/>
        <v>FALSE</v>
      </c>
      <c r="P360" s="236"/>
      <c r="Q360" s="236"/>
      <c r="R360" s="237">
        <f t="shared" si="20"/>
        <v>0</v>
      </c>
      <c r="S360" s="237">
        <f t="shared" si="21"/>
        <v>0</v>
      </c>
      <c r="T360" s="237">
        <f t="shared" si="22"/>
        <v>0</v>
      </c>
      <c r="U360" s="238" t="e">
        <f>(VLOOKUP($P$9,Per_diem_table,1)*N360)-SUM((X360,Y360,Z360))</f>
        <v>#REF!</v>
      </c>
      <c r="V360" s="237"/>
      <c r="X360" s="170">
        <f>IF(AND(N360=0.75,($O360="TRUE")),ABS('Per Diem Calc Tool'!$R360*0.75),IF($O360="TRUE",ABS('Per Diem Calc Tool'!$R360),""))</f>
      </c>
      <c r="Y360" s="170">
        <f>IF(AND(N360=0.75,($P360="TRUE")),ABS('Per Diem Calc Tool'!$S360*0.75),IF($P360="TRUE",ABS('Per Diem Calc Tool'!$S360),""))</f>
      </c>
      <c r="Z360" s="170">
        <f>IF(AND(N360=0.75,($Q360="TRUE")),ABS('Per Diem Calc Tool'!$T360*0.75),IF($Q360="TRUE",ABS('Per Diem Calc Tool'!$T360),""))</f>
      </c>
    </row>
    <row r="361" spans="12:26" ht="13.5">
      <c r="L361" s="188">
        <v>114</v>
      </c>
      <c r="M361" s="169" t="b">
        <f>+L361&lt;=$O$7</f>
        <v>0</v>
      </c>
      <c r="N361" s="235">
        <f>IF(L361=$O$7,0.75,1)</f>
        <v>1</v>
      </c>
      <c r="O361" s="236" t="str">
        <f>IF(B311="X","TRUE","FALSE")</f>
        <v>FALSE</v>
      </c>
      <c r="P361" s="236" t="str">
        <f>IF(C361="X","TRUE","FALSE")</f>
        <v>FALSE</v>
      </c>
      <c r="Q361" s="236" t="str">
        <f>IF(D361="X","TRUE","FALSE")</f>
        <v>FALSE</v>
      </c>
      <c r="R361" s="237">
        <f t="shared" si="20"/>
        <v>0</v>
      </c>
      <c r="S361" s="237">
        <f t="shared" si="21"/>
        <v>0</v>
      </c>
      <c r="T361" s="237">
        <f t="shared" si="22"/>
        <v>0</v>
      </c>
      <c r="U361" s="238" t="e">
        <f>(VLOOKUP($P$9,Per_diem_table,1)*N361)-SUM((X361,Y361,Z361))</f>
        <v>#REF!</v>
      </c>
      <c r="V361" s="237" t="e">
        <f>IF(U361&lt;5,5,U361)</f>
        <v>#REF!</v>
      </c>
      <c r="X361" s="170">
        <f>IF(AND(N361=0.75,($O361="TRUE")),ABS('Per Diem Calc Tool'!$R361*0.75),IF($O361="TRUE",ABS('Per Diem Calc Tool'!$R361),""))</f>
      </c>
      <c r="Y361" s="170">
        <f>IF(AND(N361=0.75,($P361="TRUE")),ABS('Per Diem Calc Tool'!$S361*0.75),IF($P361="TRUE",ABS('Per Diem Calc Tool'!$S361),""))</f>
      </c>
      <c r="Z361" s="170">
        <f>IF(AND(N361=0.75,($Q361="TRUE")),ABS('Per Diem Calc Tool'!$T361*0.75),IF($Q361="TRUE",ABS('Per Diem Calc Tool'!$T361),""))</f>
      </c>
    </row>
    <row r="362" spans="12:26" ht="13.5">
      <c r="L362" s="188"/>
      <c r="N362" s="235"/>
      <c r="O362" s="236" t="str">
        <f t="shared" si="23"/>
        <v>FALSE</v>
      </c>
      <c r="P362" s="236"/>
      <c r="Q362" s="236"/>
      <c r="R362" s="237">
        <f t="shared" si="20"/>
        <v>0</v>
      </c>
      <c r="S362" s="237">
        <f t="shared" si="21"/>
        <v>0</v>
      </c>
      <c r="T362" s="237">
        <f t="shared" si="22"/>
        <v>0</v>
      </c>
      <c r="U362" s="238" t="e">
        <f>(VLOOKUP($P$9,Per_diem_table,1)*N362)-SUM((X362,Y362,Z362))</f>
        <v>#REF!</v>
      </c>
      <c r="V362" s="237"/>
      <c r="X362" s="170">
        <f>IF(AND(N362=0.75,($O362="TRUE")),ABS('Per Diem Calc Tool'!$R362*0.75),IF($O362="TRUE",ABS('Per Diem Calc Tool'!$R362),""))</f>
      </c>
      <c r="Y362" s="170">
        <f>IF(AND(N362=0.75,($P362="TRUE")),ABS('Per Diem Calc Tool'!$S362*0.75),IF($P362="TRUE",ABS('Per Diem Calc Tool'!$S362),""))</f>
      </c>
      <c r="Z362" s="170">
        <f>IF(AND(N362=0.75,($Q362="TRUE")),ABS('Per Diem Calc Tool'!$T362*0.75),IF($Q362="TRUE",ABS('Per Diem Calc Tool'!$T362),""))</f>
      </c>
    </row>
    <row r="363" spans="12:26" ht="13.5">
      <c r="L363" s="188"/>
      <c r="N363" s="235"/>
      <c r="O363" s="236" t="str">
        <f t="shared" si="23"/>
        <v>FALSE</v>
      </c>
      <c r="P363" s="236"/>
      <c r="Q363" s="236"/>
      <c r="R363" s="237">
        <f t="shared" si="20"/>
        <v>0</v>
      </c>
      <c r="S363" s="237">
        <f t="shared" si="21"/>
        <v>0</v>
      </c>
      <c r="T363" s="237">
        <f t="shared" si="22"/>
        <v>0</v>
      </c>
      <c r="U363" s="238" t="e">
        <f>(VLOOKUP($P$9,Per_diem_table,1)*N363)-SUM((X363,Y363,Z363))</f>
        <v>#REF!</v>
      </c>
      <c r="V363" s="237"/>
      <c r="X363" s="170">
        <f>IF(AND(N363=0.75,($O363="TRUE")),ABS('Per Diem Calc Tool'!$R363*0.75),IF($O363="TRUE",ABS('Per Diem Calc Tool'!$R363),""))</f>
      </c>
      <c r="Y363" s="170">
        <f>IF(AND(N363=0.75,($P363="TRUE")),ABS('Per Diem Calc Tool'!$S363*0.75),IF($P363="TRUE",ABS('Per Diem Calc Tool'!$S363),""))</f>
      </c>
      <c r="Z363" s="170">
        <f>IF(AND(N363=0.75,($Q363="TRUE")),ABS('Per Diem Calc Tool'!$T363*0.75),IF($Q363="TRUE",ABS('Per Diem Calc Tool'!$T363),""))</f>
      </c>
    </row>
    <row r="364" spans="12:26" ht="13.5">
      <c r="L364" s="188">
        <v>115</v>
      </c>
      <c r="M364" s="169" t="b">
        <f>+L364&lt;=$O$7</f>
        <v>0</v>
      </c>
      <c r="N364" s="235">
        <f>IF(L364=$O$7,0.75,1)</f>
        <v>1</v>
      </c>
      <c r="O364" s="236" t="str">
        <f>IF(B314="X","TRUE","FALSE")</f>
        <v>FALSE</v>
      </c>
      <c r="P364" s="236" t="str">
        <f>IF(C362="X","TRUE","FALSE")</f>
        <v>FALSE</v>
      </c>
      <c r="Q364" s="236" t="str">
        <f>IF(D362="X","TRUE","FALSE")</f>
        <v>FALSE</v>
      </c>
      <c r="R364" s="237">
        <f t="shared" si="20"/>
        <v>0</v>
      </c>
      <c r="S364" s="237">
        <f t="shared" si="21"/>
        <v>0</v>
      </c>
      <c r="T364" s="237">
        <f t="shared" si="22"/>
        <v>0</v>
      </c>
      <c r="U364" s="238" t="e">
        <f>(VLOOKUP($P$9,Per_diem_table,1)*N364)-SUM((X364,Y364,Z364))</f>
        <v>#REF!</v>
      </c>
      <c r="V364" s="237" t="e">
        <f>IF(U364&lt;5,5,U364)</f>
        <v>#REF!</v>
      </c>
      <c r="X364" s="170">
        <f>IF(AND(N364=0.75,($O364="TRUE")),ABS('Per Diem Calc Tool'!$R364*0.75),IF($O364="TRUE",ABS('Per Diem Calc Tool'!$R364),""))</f>
      </c>
      <c r="Y364" s="170">
        <f>IF(AND(N364=0.75,($P364="TRUE")),ABS('Per Diem Calc Tool'!$S364*0.75),IF($P364="TRUE",ABS('Per Diem Calc Tool'!$S364),""))</f>
      </c>
      <c r="Z364" s="170">
        <f>IF(AND(N364=0.75,($Q364="TRUE")),ABS('Per Diem Calc Tool'!$T364*0.75),IF($Q364="TRUE",ABS('Per Diem Calc Tool'!$T364),""))</f>
      </c>
    </row>
    <row r="365" spans="12:26" ht="13.5">
      <c r="L365" s="188"/>
      <c r="N365" s="235"/>
      <c r="O365" s="236" t="str">
        <f t="shared" si="23"/>
        <v>FALSE</v>
      </c>
      <c r="P365" s="236"/>
      <c r="Q365" s="236"/>
      <c r="R365" s="237">
        <f t="shared" si="20"/>
        <v>0</v>
      </c>
      <c r="S365" s="237">
        <f t="shared" si="21"/>
        <v>0</v>
      </c>
      <c r="T365" s="237">
        <f t="shared" si="22"/>
        <v>0</v>
      </c>
      <c r="U365" s="238" t="e">
        <f>(VLOOKUP($P$9,Per_diem_table,1)*N365)-SUM((X365,Y365,Z365))</f>
        <v>#REF!</v>
      </c>
      <c r="V365" s="237"/>
      <c r="X365" s="170">
        <f>IF(AND(N365=0.75,($O365="TRUE")),ABS('Per Diem Calc Tool'!$R365*0.75),IF($O365="TRUE",ABS('Per Diem Calc Tool'!$R365),""))</f>
      </c>
      <c r="Y365" s="170">
        <f>IF(AND(N365=0.75,($P365="TRUE")),ABS('Per Diem Calc Tool'!$S365*0.75),IF($P365="TRUE",ABS('Per Diem Calc Tool'!$S365),""))</f>
      </c>
      <c r="Z365" s="170">
        <f>IF(AND(N365=0.75,($Q365="TRUE")),ABS('Per Diem Calc Tool'!$T365*0.75),IF($Q365="TRUE",ABS('Per Diem Calc Tool'!$T365),""))</f>
      </c>
    </row>
    <row r="366" spans="12:26" ht="13.5">
      <c r="L366" s="188"/>
      <c r="N366" s="235"/>
      <c r="O366" s="236" t="str">
        <f t="shared" si="23"/>
        <v>FALSE</v>
      </c>
      <c r="P366" s="236"/>
      <c r="Q366" s="236"/>
      <c r="R366" s="237">
        <f t="shared" si="20"/>
        <v>0</v>
      </c>
      <c r="S366" s="237">
        <f t="shared" si="21"/>
        <v>0</v>
      </c>
      <c r="T366" s="237">
        <f t="shared" si="22"/>
        <v>0</v>
      </c>
      <c r="U366" s="238" t="e">
        <f>(VLOOKUP($P$9,Per_diem_table,1)*N366)-SUM((X366,Y366,Z366))</f>
        <v>#REF!</v>
      </c>
      <c r="V366" s="237"/>
      <c r="X366" s="170">
        <f>IF(AND(N366=0.75,($O366="TRUE")),ABS('Per Diem Calc Tool'!$R366*0.75),IF($O366="TRUE",ABS('Per Diem Calc Tool'!$R366),""))</f>
      </c>
      <c r="Y366" s="170">
        <f>IF(AND(N366=0.75,($P366="TRUE")),ABS('Per Diem Calc Tool'!$S366*0.75),IF($P366="TRUE",ABS('Per Diem Calc Tool'!$S366),""))</f>
      </c>
      <c r="Z366" s="170">
        <f>IF(AND(N366=0.75,($Q366="TRUE")),ABS('Per Diem Calc Tool'!$T366*0.75),IF($Q366="TRUE",ABS('Per Diem Calc Tool'!$T366),""))</f>
      </c>
    </row>
    <row r="367" spans="12:26" ht="13.5">
      <c r="L367" s="188">
        <v>116</v>
      </c>
      <c r="M367" s="169" t="b">
        <f>+L367&lt;=$O$7</f>
        <v>0</v>
      </c>
      <c r="N367" s="235">
        <f>IF(L367=$O$7,0.75,1)</f>
        <v>1</v>
      </c>
      <c r="O367" s="236" t="str">
        <f>IF(B317="X","TRUE","FALSE")</f>
        <v>FALSE</v>
      </c>
      <c r="P367" s="236" t="str">
        <f>IF(C363="X","TRUE","FALSE")</f>
        <v>FALSE</v>
      </c>
      <c r="Q367" s="236" t="str">
        <f>IF(D363="X","TRUE","FALSE")</f>
        <v>FALSE</v>
      </c>
      <c r="R367" s="237">
        <f t="shared" si="20"/>
        <v>0</v>
      </c>
      <c r="S367" s="237">
        <f t="shared" si="21"/>
        <v>0</v>
      </c>
      <c r="T367" s="237">
        <f t="shared" si="22"/>
        <v>0</v>
      </c>
      <c r="U367" s="238" t="e">
        <f>(VLOOKUP($P$9,Per_diem_table,1)*N367)-SUM((X367,Y367,Z367))</f>
        <v>#REF!</v>
      </c>
      <c r="V367" s="237" t="e">
        <f>IF(U367&lt;5,5,U367)</f>
        <v>#REF!</v>
      </c>
      <c r="X367" s="170">
        <f>IF(AND(N367=0.75,($O367="TRUE")),ABS('Per Diem Calc Tool'!$R367*0.75),IF($O367="TRUE",ABS('Per Diem Calc Tool'!$R367),""))</f>
      </c>
      <c r="Y367" s="170">
        <f>IF(AND(N367=0.75,($P367="TRUE")),ABS('Per Diem Calc Tool'!$S367*0.75),IF($P367="TRUE",ABS('Per Diem Calc Tool'!$S367),""))</f>
      </c>
      <c r="Z367" s="170">
        <f>IF(AND(N367=0.75,($Q367="TRUE")),ABS('Per Diem Calc Tool'!$T367*0.75),IF($Q367="TRUE",ABS('Per Diem Calc Tool'!$T367),""))</f>
      </c>
    </row>
    <row r="368" spans="12:26" ht="13.5">
      <c r="L368" s="188"/>
      <c r="N368" s="235"/>
      <c r="O368" s="236" t="str">
        <f t="shared" si="23"/>
        <v>FALSE</v>
      </c>
      <c r="P368" s="236"/>
      <c r="Q368" s="236"/>
      <c r="R368" s="237">
        <f t="shared" si="20"/>
        <v>0</v>
      </c>
      <c r="S368" s="237">
        <f t="shared" si="21"/>
        <v>0</v>
      </c>
      <c r="T368" s="237">
        <f t="shared" si="22"/>
        <v>0</v>
      </c>
      <c r="U368" s="238" t="e">
        <f>(VLOOKUP($P$9,Per_diem_table,1)*N368)-SUM((X368,Y368,Z368))</f>
        <v>#REF!</v>
      </c>
      <c r="V368" s="237"/>
      <c r="X368" s="170">
        <f>IF(AND(N368=0.75,($O368="TRUE")),ABS('Per Diem Calc Tool'!$R368*0.75),IF($O368="TRUE",ABS('Per Diem Calc Tool'!$R368),""))</f>
      </c>
      <c r="Y368" s="170">
        <f>IF(AND(N368=0.75,($P368="TRUE")),ABS('Per Diem Calc Tool'!$S368*0.75),IF($P368="TRUE",ABS('Per Diem Calc Tool'!$S368),""))</f>
      </c>
      <c r="Z368" s="170">
        <f>IF(AND(N368=0.75,($Q368="TRUE")),ABS('Per Diem Calc Tool'!$T368*0.75),IF($Q368="TRUE",ABS('Per Diem Calc Tool'!$T368),""))</f>
      </c>
    </row>
    <row r="369" spans="12:26" ht="13.5">
      <c r="L369" s="188"/>
      <c r="N369" s="235"/>
      <c r="O369" s="236" t="str">
        <f t="shared" si="23"/>
        <v>FALSE</v>
      </c>
      <c r="P369" s="236"/>
      <c r="Q369" s="236"/>
      <c r="R369" s="237">
        <f t="shared" si="20"/>
        <v>0</v>
      </c>
      <c r="S369" s="237">
        <f t="shared" si="21"/>
        <v>0</v>
      </c>
      <c r="T369" s="237">
        <f t="shared" si="22"/>
        <v>0</v>
      </c>
      <c r="U369" s="238" t="e">
        <f>(VLOOKUP($P$9,Per_diem_table,1)*N369)-SUM((X369,Y369,Z369))</f>
        <v>#REF!</v>
      </c>
      <c r="V369" s="237"/>
      <c r="X369" s="170">
        <f>IF(AND(N369=0.75,($O369="TRUE")),ABS('Per Diem Calc Tool'!$R369*0.75),IF($O369="TRUE",ABS('Per Diem Calc Tool'!$R369),""))</f>
      </c>
      <c r="Y369" s="170">
        <f>IF(AND(N369=0.75,($P369="TRUE")),ABS('Per Diem Calc Tool'!$S369*0.75),IF($P369="TRUE",ABS('Per Diem Calc Tool'!$S369),""))</f>
      </c>
      <c r="Z369" s="170">
        <f>IF(AND(N369=0.75,($Q369="TRUE")),ABS('Per Diem Calc Tool'!$T369*0.75),IF($Q369="TRUE",ABS('Per Diem Calc Tool'!$T369),""))</f>
      </c>
    </row>
    <row r="370" spans="12:26" ht="13.5">
      <c r="L370" s="188">
        <v>117</v>
      </c>
      <c r="M370" s="169" t="b">
        <f>+L370&lt;=$O$7</f>
        <v>0</v>
      </c>
      <c r="N370" s="235">
        <f>IF(L370=$O$7,0.75,1)</f>
        <v>1</v>
      </c>
      <c r="O370" s="236" t="str">
        <f>IF(B320="X","TRUE","FALSE")</f>
        <v>FALSE</v>
      </c>
      <c r="P370" s="236" t="str">
        <f>IF(C370="X","TRUE","FALSE")</f>
        <v>FALSE</v>
      </c>
      <c r="Q370" s="236" t="str">
        <f>IF(D370="X","TRUE","FALSE")</f>
        <v>FALSE</v>
      </c>
      <c r="R370" s="237">
        <f t="shared" si="20"/>
        <v>0</v>
      </c>
      <c r="S370" s="237">
        <f t="shared" si="21"/>
        <v>0</v>
      </c>
      <c r="T370" s="237">
        <f t="shared" si="22"/>
        <v>0</v>
      </c>
      <c r="U370" s="238" t="e">
        <f>(VLOOKUP($P$9,Per_diem_table,1)*N370)-SUM((X370,Y370,Z370))</f>
        <v>#REF!</v>
      </c>
      <c r="V370" s="237" t="e">
        <f>IF(U370&lt;5,5,U370)</f>
        <v>#REF!</v>
      </c>
      <c r="X370" s="170">
        <f>IF(AND(N370=0.75,($O370="TRUE")),ABS('Per Diem Calc Tool'!$R370*0.75),IF($O370="TRUE",ABS('Per Diem Calc Tool'!$R370),""))</f>
      </c>
      <c r="Y370" s="170">
        <f>IF(AND(N370=0.75,($P370="TRUE")),ABS('Per Diem Calc Tool'!$S370*0.75),IF($P370="TRUE",ABS('Per Diem Calc Tool'!$S370),""))</f>
      </c>
      <c r="Z370" s="170">
        <f>IF(AND(N370=0.75,($Q370="TRUE")),ABS('Per Diem Calc Tool'!$T370*0.75),IF($Q370="TRUE",ABS('Per Diem Calc Tool'!$T370),""))</f>
      </c>
    </row>
    <row r="371" spans="12:26" ht="13.5">
      <c r="L371" s="188"/>
      <c r="N371" s="235"/>
      <c r="O371" s="236" t="str">
        <f t="shared" si="23"/>
        <v>FALSE</v>
      </c>
      <c r="P371" s="236"/>
      <c r="Q371" s="236"/>
      <c r="R371" s="237">
        <f t="shared" si="20"/>
        <v>0</v>
      </c>
      <c r="S371" s="237">
        <f t="shared" si="21"/>
        <v>0</v>
      </c>
      <c r="T371" s="237">
        <f t="shared" si="22"/>
        <v>0</v>
      </c>
      <c r="U371" s="238" t="e">
        <f>(VLOOKUP($P$9,Per_diem_table,1)*N371)-SUM((X371,Y371,Z371))</f>
        <v>#REF!</v>
      </c>
      <c r="V371" s="237"/>
      <c r="X371" s="170">
        <f>IF(AND(N371=0.75,($O371="TRUE")),ABS('Per Diem Calc Tool'!$R371*0.75),IF($O371="TRUE",ABS('Per Diem Calc Tool'!$R371),""))</f>
      </c>
      <c r="Y371" s="170">
        <f>IF(AND(N371=0.75,($P371="TRUE")),ABS('Per Diem Calc Tool'!$S371*0.75),IF($P371="TRUE",ABS('Per Diem Calc Tool'!$S371),""))</f>
      </c>
      <c r="Z371" s="170">
        <f>IF(AND(N371=0.75,($Q371="TRUE")),ABS('Per Diem Calc Tool'!$T371*0.75),IF($Q371="TRUE",ABS('Per Diem Calc Tool'!$T371),""))</f>
      </c>
    </row>
    <row r="372" spans="12:26" ht="13.5">
      <c r="L372" s="188"/>
      <c r="N372" s="235"/>
      <c r="O372" s="236" t="str">
        <f t="shared" si="23"/>
        <v>FALSE</v>
      </c>
      <c r="P372" s="236"/>
      <c r="Q372" s="236"/>
      <c r="R372" s="237">
        <f t="shared" si="20"/>
        <v>0</v>
      </c>
      <c r="S372" s="237">
        <f t="shared" si="21"/>
        <v>0</v>
      </c>
      <c r="T372" s="237">
        <f t="shared" si="22"/>
        <v>0</v>
      </c>
      <c r="U372" s="238" t="e">
        <f>(VLOOKUP($P$9,Per_diem_table,1)*N372)-SUM((X372,Y372,Z372))</f>
        <v>#REF!</v>
      </c>
      <c r="V372" s="237"/>
      <c r="X372" s="170">
        <f>IF(AND(N372=0.75,($O372="TRUE")),ABS('Per Diem Calc Tool'!$R372*0.75),IF($O372="TRUE",ABS('Per Diem Calc Tool'!$R372),""))</f>
      </c>
      <c r="Y372" s="170">
        <f>IF(AND(N372=0.75,($P372="TRUE")),ABS('Per Diem Calc Tool'!$S372*0.75),IF($P372="TRUE",ABS('Per Diem Calc Tool'!$S372),""))</f>
      </c>
      <c r="Z372" s="170">
        <f>IF(AND(N372=0.75,($Q372="TRUE")),ABS('Per Diem Calc Tool'!$T372*0.75),IF($Q372="TRUE",ABS('Per Diem Calc Tool'!$T372),""))</f>
      </c>
    </row>
    <row r="373" spans="12:26" ht="13.5">
      <c r="L373" s="188">
        <v>118</v>
      </c>
      <c r="M373" s="169" t="b">
        <f>+L373&lt;=$O$7</f>
        <v>0</v>
      </c>
      <c r="N373" s="235">
        <f>IF(L373=$O$7,0.75,1)</f>
        <v>1</v>
      </c>
      <c r="O373" s="236" t="str">
        <f>IF(B323="X","TRUE","FALSE")</f>
        <v>FALSE</v>
      </c>
      <c r="P373" s="236" t="str">
        <f>IF(C371="X","TRUE","FALSE")</f>
        <v>FALSE</v>
      </c>
      <c r="Q373" s="236" t="str">
        <f>IF(D371="X","TRUE","FALSE")</f>
        <v>FALSE</v>
      </c>
      <c r="R373" s="237">
        <f t="shared" si="20"/>
        <v>0</v>
      </c>
      <c r="S373" s="237">
        <f t="shared" si="21"/>
        <v>0</v>
      </c>
      <c r="T373" s="237">
        <f t="shared" si="22"/>
        <v>0</v>
      </c>
      <c r="U373" s="238" t="e">
        <f>(VLOOKUP($P$9,Per_diem_table,1)*N373)-SUM((X373,Y373,Z373))</f>
        <v>#REF!</v>
      </c>
      <c r="V373" s="237" t="e">
        <f>IF(U373&lt;5,5,U373)</f>
        <v>#REF!</v>
      </c>
      <c r="X373" s="170">
        <f>IF(AND(N373=0.75,($O373="TRUE")),ABS('Per Diem Calc Tool'!$R373*0.75),IF($O373="TRUE",ABS('Per Diem Calc Tool'!$R373),""))</f>
      </c>
      <c r="Y373" s="170">
        <f>IF(AND(N373=0.75,($P373="TRUE")),ABS('Per Diem Calc Tool'!$S373*0.75),IF($P373="TRUE",ABS('Per Diem Calc Tool'!$S373),""))</f>
      </c>
      <c r="Z373" s="170">
        <f>IF(AND(N373=0.75,($Q373="TRUE")),ABS('Per Diem Calc Tool'!$T373*0.75),IF($Q373="TRUE",ABS('Per Diem Calc Tool'!$T373),""))</f>
      </c>
    </row>
    <row r="374" spans="12:26" ht="13.5">
      <c r="L374" s="188"/>
      <c r="N374" s="235"/>
      <c r="O374" s="236" t="str">
        <f t="shared" si="23"/>
        <v>FALSE</v>
      </c>
      <c r="P374" s="236"/>
      <c r="Q374" s="236"/>
      <c r="R374" s="237">
        <f t="shared" si="20"/>
        <v>0</v>
      </c>
      <c r="S374" s="237">
        <f t="shared" si="21"/>
        <v>0</v>
      </c>
      <c r="T374" s="237">
        <f t="shared" si="22"/>
        <v>0</v>
      </c>
      <c r="U374" s="238" t="e">
        <f>(VLOOKUP($P$9,Per_diem_table,1)*N374)-SUM((X374,Y374,Z374))</f>
        <v>#REF!</v>
      </c>
      <c r="V374" s="237"/>
      <c r="X374" s="170">
        <f>IF(AND(N374=0.75,($O374="TRUE")),ABS('Per Diem Calc Tool'!$R374*0.75),IF($O374="TRUE",ABS('Per Diem Calc Tool'!$R374),""))</f>
      </c>
      <c r="Y374" s="170">
        <f>IF(AND(N374=0.75,($P374="TRUE")),ABS('Per Diem Calc Tool'!$S374*0.75),IF($P374="TRUE",ABS('Per Diem Calc Tool'!$S374),""))</f>
      </c>
      <c r="Z374" s="170">
        <f>IF(AND(N374=0.75,($Q374="TRUE")),ABS('Per Diem Calc Tool'!$T374*0.75),IF($Q374="TRUE",ABS('Per Diem Calc Tool'!$T374),""))</f>
      </c>
    </row>
    <row r="375" spans="12:26" ht="13.5">
      <c r="L375" s="188"/>
      <c r="N375" s="235"/>
      <c r="O375" s="236" t="str">
        <f t="shared" si="23"/>
        <v>FALSE</v>
      </c>
      <c r="P375" s="236"/>
      <c r="Q375" s="236"/>
      <c r="R375" s="237">
        <f t="shared" si="20"/>
        <v>0</v>
      </c>
      <c r="S375" s="237">
        <f t="shared" si="21"/>
        <v>0</v>
      </c>
      <c r="T375" s="237">
        <f t="shared" si="22"/>
        <v>0</v>
      </c>
      <c r="U375" s="238" t="e">
        <f>(VLOOKUP($P$9,Per_diem_table,1)*N375)-SUM((X375,Y375,Z375))</f>
        <v>#REF!</v>
      </c>
      <c r="V375" s="237"/>
      <c r="X375" s="170">
        <f>IF(AND(N375=0.75,($O375="TRUE")),ABS('Per Diem Calc Tool'!$R375*0.75),IF($O375="TRUE",ABS('Per Diem Calc Tool'!$R375),""))</f>
      </c>
      <c r="Y375" s="170">
        <f>IF(AND(N375=0.75,($P375="TRUE")),ABS('Per Diem Calc Tool'!$S375*0.75),IF($P375="TRUE",ABS('Per Diem Calc Tool'!$S375),""))</f>
      </c>
      <c r="Z375" s="170">
        <f>IF(AND(N375=0.75,($Q375="TRUE")),ABS('Per Diem Calc Tool'!$T375*0.75),IF($Q375="TRUE",ABS('Per Diem Calc Tool'!$T375),""))</f>
      </c>
    </row>
    <row r="376" spans="12:26" ht="13.5">
      <c r="L376" s="188">
        <v>119</v>
      </c>
      <c r="M376" s="169" t="b">
        <f>+L376&lt;=$O$7</f>
        <v>0</v>
      </c>
      <c r="N376" s="235">
        <f>IF(L376=$O$7,0.75,1)</f>
        <v>1</v>
      </c>
      <c r="O376" s="236" t="str">
        <f>IF(B326="X","TRUE","FALSE")</f>
        <v>FALSE</v>
      </c>
      <c r="P376" s="236" t="str">
        <f>IF(C372="X","TRUE","FALSE")</f>
        <v>FALSE</v>
      </c>
      <c r="Q376" s="236" t="str">
        <f>IF(D372="X","TRUE","FALSE")</f>
        <v>FALSE</v>
      </c>
      <c r="R376" s="237">
        <f t="shared" si="20"/>
        <v>0</v>
      </c>
      <c r="S376" s="237">
        <f t="shared" si="21"/>
        <v>0</v>
      </c>
      <c r="T376" s="237">
        <f t="shared" si="22"/>
        <v>0</v>
      </c>
      <c r="U376" s="238" t="e">
        <f>(VLOOKUP($P$9,Per_diem_table,1)*N376)-SUM((X376,Y376,Z376))</f>
        <v>#REF!</v>
      </c>
      <c r="V376" s="237" t="e">
        <f>IF(U376&lt;5,5,U376)</f>
        <v>#REF!</v>
      </c>
      <c r="X376" s="170">
        <f>IF(AND(N376=0.75,($O376="TRUE")),ABS('Per Diem Calc Tool'!$R376*0.75),IF($O376="TRUE",ABS('Per Diem Calc Tool'!$R376),""))</f>
      </c>
      <c r="Y376" s="170">
        <f>IF(AND(N376=0.75,($P376="TRUE")),ABS('Per Diem Calc Tool'!$S376*0.75),IF($P376="TRUE",ABS('Per Diem Calc Tool'!$S376),""))</f>
      </c>
      <c r="Z376" s="170">
        <f>IF(AND(N376=0.75,($Q376="TRUE")),ABS('Per Diem Calc Tool'!$T376*0.75),IF($Q376="TRUE",ABS('Per Diem Calc Tool'!$T376),""))</f>
      </c>
    </row>
    <row r="377" spans="12:26" ht="13.5">
      <c r="L377" s="188"/>
      <c r="N377" s="235"/>
      <c r="O377" s="236" t="str">
        <f t="shared" si="23"/>
        <v>FALSE</v>
      </c>
      <c r="P377" s="236"/>
      <c r="Q377" s="236"/>
      <c r="R377" s="237">
        <f t="shared" si="20"/>
        <v>0</v>
      </c>
      <c r="S377" s="237">
        <f t="shared" si="21"/>
        <v>0</v>
      </c>
      <c r="T377" s="237">
        <f t="shared" si="22"/>
        <v>0</v>
      </c>
      <c r="U377" s="238" t="e">
        <f>(VLOOKUP($P$9,Per_diem_table,1)*N377)-SUM((X377,Y377,Z377))</f>
        <v>#REF!</v>
      </c>
      <c r="V377" s="237"/>
      <c r="X377" s="170">
        <f>IF(AND(N377=0.75,($O377="TRUE")),ABS('Per Diem Calc Tool'!$R377*0.75),IF($O377="TRUE",ABS('Per Diem Calc Tool'!$R377),""))</f>
      </c>
      <c r="Y377" s="170">
        <f>IF(AND(N377=0.75,($P377="TRUE")),ABS('Per Diem Calc Tool'!$S377*0.75),IF($P377="TRUE",ABS('Per Diem Calc Tool'!$S377),""))</f>
      </c>
      <c r="Z377" s="170">
        <f>IF(AND(N377=0.75,($Q377="TRUE")),ABS('Per Diem Calc Tool'!$T377*0.75),IF($Q377="TRUE",ABS('Per Diem Calc Tool'!$T377),""))</f>
      </c>
    </row>
    <row r="378" spans="12:26" ht="13.5">
      <c r="L378" s="188"/>
      <c r="N378" s="235"/>
      <c r="O378" s="236" t="str">
        <f t="shared" si="23"/>
        <v>FALSE</v>
      </c>
      <c r="P378" s="236"/>
      <c r="Q378" s="236"/>
      <c r="R378" s="237">
        <f t="shared" si="20"/>
        <v>0</v>
      </c>
      <c r="S378" s="237">
        <f t="shared" si="21"/>
        <v>0</v>
      </c>
      <c r="T378" s="237">
        <f t="shared" si="22"/>
        <v>0</v>
      </c>
      <c r="U378" s="238" t="e">
        <f>(VLOOKUP($P$9,Per_diem_table,1)*N378)-SUM((X378,Y378,Z378))</f>
        <v>#REF!</v>
      </c>
      <c r="V378" s="237"/>
      <c r="X378" s="170">
        <f>IF(AND(N378=0.75,($O378="TRUE")),ABS('Per Diem Calc Tool'!$R378*0.75),IF($O378="TRUE",ABS('Per Diem Calc Tool'!$R378),""))</f>
      </c>
      <c r="Y378" s="170">
        <f>IF(AND(N378=0.75,($P378="TRUE")),ABS('Per Diem Calc Tool'!$S378*0.75),IF($P378="TRUE",ABS('Per Diem Calc Tool'!$S378),""))</f>
      </c>
      <c r="Z378" s="170">
        <f>IF(AND(N378=0.75,($Q378="TRUE")),ABS('Per Diem Calc Tool'!$T378*0.75),IF($Q378="TRUE",ABS('Per Diem Calc Tool'!$T378),""))</f>
      </c>
    </row>
    <row r="379" spans="12:26" ht="13.5">
      <c r="L379" s="188">
        <v>120</v>
      </c>
      <c r="M379" s="169" t="b">
        <f>+L379&lt;=$O$7</f>
        <v>0</v>
      </c>
      <c r="N379" s="235">
        <f>IF(L379=$O$7,0.75,1)</f>
        <v>1</v>
      </c>
      <c r="O379" s="236" t="str">
        <f>IF(B329="X","TRUE","FALSE")</f>
        <v>FALSE</v>
      </c>
      <c r="P379" s="236" t="str">
        <f>IF(C379="X","TRUE","FALSE")</f>
        <v>FALSE</v>
      </c>
      <c r="Q379" s="236" t="str">
        <f>IF(D379="X","TRUE","FALSE")</f>
        <v>FALSE</v>
      </c>
      <c r="R379" s="237">
        <f t="shared" si="20"/>
        <v>0</v>
      </c>
      <c r="S379" s="237">
        <f t="shared" si="21"/>
        <v>0</v>
      </c>
      <c r="T379" s="237">
        <f t="shared" si="22"/>
        <v>0</v>
      </c>
      <c r="U379" s="238" t="e">
        <f>(VLOOKUP($P$9,Per_diem_table,1)*N379)-SUM((X379,Y379,Z379))</f>
        <v>#REF!</v>
      </c>
      <c r="V379" s="237" t="e">
        <f>IF(U379&lt;5,5,U379)</f>
        <v>#REF!</v>
      </c>
      <c r="X379" s="170">
        <f>IF(AND(N379=0.75,($O379="TRUE")),ABS('Per Diem Calc Tool'!$R379*0.75),IF($O379="TRUE",ABS('Per Diem Calc Tool'!$R379),""))</f>
      </c>
      <c r="Y379" s="170">
        <f>IF(AND(N379=0.75,($P379="TRUE")),ABS('Per Diem Calc Tool'!$S379*0.75),IF($P379="TRUE",ABS('Per Diem Calc Tool'!$S379),""))</f>
      </c>
      <c r="Z379" s="170">
        <f>IF(AND(N379=0.75,($Q379="TRUE")),ABS('Per Diem Calc Tool'!$T379*0.75),IF($Q379="TRUE",ABS('Per Diem Calc Tool'!$T379),""))</f>
      </c>
    </row>
    <row r="380" spans="24:26" ht="12.75">
      <c r="X380" s="169"/>
      <c r="Y380" s="169"/>
      <c r="Z380" s="169"/>
    </row>
    <row r="381" spans="24:26" ht="12.75">
      <c r="X381" s="169"/>
      <c r="Y381" s="169"/>
      <c r="Z381" s="169"/>
    </row>
    <row r="382" spans="24:26" ht="12.75">
      <c r="X382" s="169"/>
      <c r="Y382" s="169"/>
      <c r="Z382" s="169"/>
    </row>
    <row r="383" spans="24:26" ht="12.75">
      <c r="X383" s="169"/>
      <c r="Y383" s="169"/>
      <c r="Z383" s="169"/>
    </row>
    <row r="384" spans="24:26" ht="12.75">
      <c r="X384" s="169"/>
      <c r="Y384" s="169"/>
      <c r="Z384" s="169"/>
    </row>
    <row r="385" spans="24:26" ht="12.75">
      <c r="X385" s="169"/>
      <c r="Y385" s="169"/>
      <c r="Z385" s="169"/>
    </row>
    <row r="386" spans="24:26" ht="12.75">
      <c r="X386" s="169"/>
      <c r="Y386" s="169"/>
      <c r="Z386" s="169"/>
    </row>
    <row r="387" spans="24:26" ht="12.75">
      <c r="X387" s="169"/>
      <c r="Y387" s="169"/>
      <c r="Z387" s="169"/>
    </row>
    <row r="388" spans="24:26" ht="12.75">
      <c r="X388" s="169"/>
      <c r="Y388" s="169"/>
      <c r="Z388" s="169"/>
    </row>
    <row r="389" spans="24:26" ht="12.75">
      <c r="X389" s="169"/>
      <c r="Y389" s="169"/>
      <c r="Z389" s="169"/>
    </row>
    <row r="390" spans="24:26" ht="12.75">
      <c r="X390" s="169"/>
      <c r="Y390" s="169"/>
      <c r="Z390" s="169"/>
    </row>
    <row r="391" spans="24:26" ht="12.75">
      <c r="X391" s="169"/>
      <c r="Y391" s="169"/>
      <c r="Z391" s="169"/>
    </row>
    <row r="392" spans="24:26" ht="12.75">
      <c r="X392" s="169"/>
      <c r="Y392" s="169"/>
      <c r="Z392" s="169"/>
    </row>
    <row r="393" spans="24:26" ht="12.75">
      <c r="X393" s="169"/>
      <c r="Y393" s="169"/>
      <c r="Z393" s="169"/>
    </row>
    <row r="394" spans="24:26" ht="12.75">
      <c r="X394" s="169"/>
      <c r="Y394" s="169"/>
      <c r="Z394" s="169"/>
    </row>
    <row r="395" spans="24:26" ht="12.75">
      <c r="X395" s="169"/>
      <c r="Y395" s="169"/>
      <c r="Z395" s="169"/>
    </row>
    <row r="396" spans="24:26" ht="12.75">
      <c r="X396" s="169"/>
      <c r="Y396" s="169"/>
      <c r="Z396" s="169"/>
    </row>
    <row r="397" spans="24:26" ht="12.75">
      <c r="X397" s="169"/>
      <c r="Y397" s="169"/>
      <c r="Z397" s="169"/>
    </row>
    <row r="398" spans="24:26" ht="12.75">
      <c r="X398" s="169"/>
      <c r="Y398" s="169"/>
      <c r="Z398" s="169"/>
    </row>
    <row r="399" spans="24:26" ht="12.75">
      <c r="X399" s="169"/>
      <c r="Y399" s="169"/>
      <c r="Z399" s="169"/>
    </row>
    <row r="400" spans="24:26" ht="12.75">
      <c r="X400" s="169"/>
      <c r="Y400" s="169"/>
      <c r="Z400" s="169"/>
    </row>
    <row r="401" spans="24:26" ht="12.75">
      <c r="X401" s="169"/>
      <c r="Y401" s="169"/>
      <c r="Z401" s="169"/>
    </row>
    <row r="402" spans="24:26" ht="12.75">
      <c r="X402" s="169"/>
      <c r="Y402" s="169"/>
      <c r="Z402" s="169"/>
    </row>
    <row r="403" spans="24:26" ht="12.75">
      <c r="X403" s="169"/>
      <c r="Y403" s="169"/>
      <c r="Z403" s="169"/>
    </row>
    <row r="404" spans="24:26" ht="12.75">
      <c r="X404" s="169"/>
      <c r="Y404" s="169"/>
      <c r="Z404" s="169"/>
    </row>
    <row r="405" spans="24:26" ht="12.75">
      <c r="X405" s="169"/>
      <c r="Y405" s="169"/>
      <c r="Z405" s="169"/>
    </row>
    <row r="406" spans="24:26" ht="12.75">
      <c r="X406" s="169"/>
      <c r="Y406" s="169"/>
      <c r="Z406" s="169"/>
    </row>
    <row r="407" spans="24:26" ht="12.75">
      <c r="X407" s="169"/>
      <c r="Y407" s="169"/>
      <c r="Z407" s="169"/>
    </row>
    <row r="408" spans="24:26" ht="12.75">
      <c r="X408" s="169"/>
      <c r="Y408" s="169"/>
      <c r="Z408" s="169"/>
    </row>
    <row r="409" spans="24:26" ht="12.75">
      <c r="X409" s="169"/>
      <c r="Y409" s="169"/>
      <c r="Z409" s="169"/>
    </row>
    <row r="410" spans="24:26" ht="12.75">
      <c r="X410" s="169"/>
      <c r="Y410" s="169"/>
      <c r="Z410" s="169"/>
    </row>
    <row r="411" spans="24:26" ht="12.75">
      <c r="X411" s="169"/>
      <c r="Y411" s="169"/>
      <c r="Z411" s="169"/>
    </row>
    <row r="412" spans="11:26" ht="12.75">
      <c r="K412" s="188"/>
      <c r="X412" s="169"/>
      <c r="Y412" s="169"/>
      <c r="Z412" s="169"/>
    </row>
    <row r="413" spans="11:26" ht="12.75">
      <c r="K413" s="188"/>
      <c r="X413" s="169"/>
      <c r="Y413" s="169"/>
      <c r="Z413" s="169"/>
    </row>
    <row r="414" spans="11:26" ht="12.75">
      <c r="K414" s="188"/>
      <c r="X414" s="169"/>
      <c r="Y414" s="169"/>
      <c r="Z414" s="169"/>
    </row>
    <row r="415" spans="11:26" ht="12.75">
      <c r="K415" s="188"/>
      <c r="X415" s="169"/>
      <c r="Y415" s="169"/>
      <c r="Z415" s="169"/>
    </row>
    <row r="416" spans="11:26" ht="12.75">
      <c r="K416" s="188"/>
      <c r="X416" s="169"/>
      <c r="Y416" s="169"/>
      <c r="Z416" s="169"/>
    </row>
    <row r="417" spans="11:26" ht="12.75">
      <c r="K417" s="188"/>
      <c r="X417" s="169"/>
      <c r="Y417" s="169"/>
      <c r="Z417" s="169"/>
    </row>
    <row r="418" spans="11:26" ht="12.75">
      <c r="K418" s="188"/>
      <c r="X418" s="169"/>
      <c r="Y418" s="169"/>
      <c r="Z418" s="169"/>
    </row>
    <row r="419" spans="11:26" ht="12.75">
      <c r="K419" s="188"/>
      <c r="X419" s="169"/>
      <c r="Y419" s="169"/>
      <c r="Z419" s="169"/>
    </row>
    <row r="420" spans="11:26" ht="12.75">
      <c r="K420" s="188"/>
      <c r="X420" s="169"/>
      <c r="Y420" s="169"/>
      <c r="Z420" s="169"/>
    </row>
    <row r="421" spans="11:26" ht="12.75">
      <c r="K421" s="188"/>
      <c r="X421" s="169"/>
      <c r="Y421" s="169"/>
      <c r="Z421" s="169"/>
    </row>
    <row r="422" spans="11:26" ht="12.75">
      <c r="K422" s="188"/>
      <c r="X422" s="169"/>
      <c r="Y422" s="169"/>
      <c r="Z422" s="169"/>
    </row>
    <row r="423" spans="11:26" ht="12.75">
      <c r="K423" s="188"/>
      <c r="X423" s="169"/>
      <c r="Y423" s="169"/>
      <c r="Z423" s="169"/>
    </row>
    <row r="424" spans="11:26" ht="12.75">
      <c r="K424" s="188"/>
      <c r="X424" s="169"/>
      <c r="Y424" s="169"/>
      <c r="Z424" s="169"/>
    </row>
    <row r="425" spans="11:26" ht="12.75">
      <c r="K425" s="188"/>
      <c r="X425" s="169"/>
      <c r="Y425" s="169"/>
      <c r="Z425" s="169"/>
    </row>
    <row r="426" spans="11:26" ht="12.75">
      <c r="K426" s="188"/>
      <c r="X426" s="169"/>
      <c r="Y426" s="169"/>
      <c r="Z426" s="169"/>
    </row>
    <row r="427" spans="11:26" ht="12.75">
      <c r="K427" s="188"/>
      <c r="X427" s="169"/>
      <c r="Y427" s="169"/>
      <c r="Z427" s="169"/>
    </row>
    <row r="428" spans="11:26" ht="12.75">
      <c r="K428" s="188"/>
      <c r="X428" s="169"/>
      <c r="Y428" s="169"/>
      <c r="Z428" s="169"/>
    </row>
    <row r="429" spans="11:26" ht="12.75">
      <c r="K429" s="188"/>
      <c r="X429" s="169"/>
      <c r="Y429" s="169"/>
      <c r="Z429" s="169"/>
    </row>
    <row r="430" spans="11:26" ht="12.75">
      <c r="K430" s="188"/>
      <c r="X430" s="169"/>
      <c r="Y430" s="169"/>
      <c r="Z430" s="169"/>
    </row>
    <row r="431" spans="11:26" ht="12.75">
      <c r="K431" s="188"/>
      <c r="X431" s="169"/>
      <c r="Y431" s="169"/>
      <c r="Z431" s="169"/>
    </row>
    <row r="432" spans="11:26" ht="12.75">
      <c r="K432" s="188"/>
      <c r="X432" s="169"/>
      <c r="Y432" s="169"/>
      <c r="Z432" s="169"/>
    </row>
    <row r="433" spans="11:26" ht="12.75">
      <c r="K433" s="188"/>
      <c r="X433" s="169"/>
      <c r="Y433" s="169"/>
      <c r="Z433" s="169"/>
    </row>
    <row r="434" spans="11:26" ht="12.75">
      <c r="K434" s="188"/>
      <c r="X434" s="169"/>
      <c r="Y434" s="169"/>
      <c r="Z434" s="169"/>
    </row>
    <row r="435" spans="11:26" ht="12.75">
      <c r="K435" s="188"/>
      <c r="X435" s="169"/>
      <c r="Y435" s="169"/>
      <c r="Z435" s="169"/>
    </row>
    <row r="436" spans="11:26" ht="12.75">
      <c r="K436" s="188"/>
      <c r="X436" s="169"/>
      <c r="Y436" s="169"/>
      <c r="Z436" s="169"/>
    </row>
    <row r="437" spans="11:26" ht="12.75">
      <c r="K437" s="188"/>
      <c r="X437" s="169"/>
      <c r="Y437" s="169"/>
      <c r="Z437" s="169"/>
    </row>
    <row r="438" spans="11:26" ht="12.75">
      <c r="K438" s="188"/>
      <c r="X438" s="169"/>
      <c r="Y438" s="169"/>
      <c r="Z438" s="169"/>
    </row>
    <row r="439" spans="24:26" ht="12.75">
      <c r="X439" s="169"/>
      <c r="Y439" s="169"/>
      <c r="Z439" s="169"/>
    </row>
    <row r="440" spans="24:26" ht="12.75">
      <c r="X440" s="169"/>
      <c r="Y440" s="169"/>
      <c r="Z440" s="169"/>
    </row>
    <row r="441" spans="24:26" ht="12.75">
      <c r="X441" s="169"/>
      <c r="Y441" s="169"/>
      <c r="Z441" s="169"/>
    </row>
    <row r="442" spans="24:26" ht="12.75">
      <c r="X442" s="169"/>
      <c r="Y442" s="169"/>
      <c r="Z442" s="169"/>
    </row>
    <row r="443" spans="24:26" ht="12.75">
      <c r="X443" s="169"/>
      <c r="Y443" s="169"/>
      <c r="Z443" s="169"/>
    </row>
    <row r="444" spans="24:26" ht="12.75">
      <c r="X444" s="169"/>
      <c r="Y444" s="169"/>
      <c r="Z444" s="169"/>
    </row>
    <row r="445" spans="24:26" ht="12.75">
      <c r="X445" s="169"/>
      <c r="Y445" s="169"/>
      <c r="Z445" s="169"/>
    </row>
    <row r="446" spans="24:26" ht="12.75">
      <c r="X446" s="169"/>
      <c r="Y446" s="169"/>
      <c r="Z446" s="169"/>
    </row>
    <row r="447" spans="24:26" ht="12.75">
      <c r="X447" s="169"/>
      <c r="Y447" s="169"/>
      <c r="Z447" s="169"/>
    </row>
    <row r="448" spans="24:26" ht="12.75">
      <c r="X448" s="169"/>
      <c r="Y448" s="169"/>
      <c r="Z448" s="169"/>
    </row>
    <row r="449" spans="24:26" ht="12.75">
      <c r="X449" s="169"/>
      <c r="Y449" s="169"/>
      <c r="Z449" s="169"/>
    </row>
    <row r="450" spans="24:26" ht="12.75">
      <c r="X450" s="169"/>
      <c r="Y450" s="169"/>
      <c r="Z450" s="169"/>
    </row>
    <row r="451" spans="24:26" ht="12.75">
      <c r="X451" s="169"/>
      <c r="Y451" s="169"/>
      <c r="Z451" s="169"/>
    </row>
    <row r="452" spans="24:26" ht="12.75">
      <c r="X452" s="169"/>
      <c r="Y452" s="169"/>
      <c r="Z452" s="169"/>
    </row>
    <row r="453" spans="24:26" ht="12.75">
      <c r="X453" s="169"/>
      <c r="Y453" s="169"/>
      <c r="Z453" s="169"/>
    </row>
    <row r="454" spans="24:26" ht="12.75">
      <c r="X454" s="169"/>
      <c r="Y454" s="169"/>
      <c r="Z454" s="169"/>
    </row>
    <row r="455" spans="24:26" ht="12.75">
      <c r="X455" s="169"/>
      <c r="Y455" s="169"/>
      <c r="Z455" s="169"/>
    </row>
    <row r="456" spans="24:26" ht="12.75">
      <c r="X456" s="169"/>
      <c r="Y456" s="169"/>
      <c r="Z456" s="169"/>
    </row>
    <row r="457" spans="24:26" ht="12.75">
      <c r="X457" s="169"/>
      <c r="Y457" s="169"/>
      <c r="Z457" s="169"/>
    </row>
    <row r="458" spans="24:26" ht="12.75">
      <c r="X458" s="169"/>
      <c r="Y458" s="169"/>
      <c r="Z458" s="169"/>
    </row>
    <row r="459" spans="24:26" ht="12.75">
      <c r="X459" s="169"/>
      <c r="Y459" s="169"/>
      <c r="Z459" s="169"/>
    </row>
    <row r="460" spans="24:26" ht="12.75">
      <c r="X460" s="169"/>
      <c r="Y460" s="169"/>
      <c r="Z460" s="169"/>
    </row>
    <row r="461" spans="24:26" ht="12.75">
      <c r="X461" s="169"/>
      <c r="Y461" s="169"/>
      <c r="Z461" s="169"/>
    </row>
    <row r="462" spans="24:26" ht="12.75">
      <c r="X462" s="169"/>
      <c r="Y462" s="169"/>
      <c r="Z462" s="169"/>
    </row>
    <row r="463" spans="24:26" ht="12.75">
      <c r="X463" s="169"/>
      <c r="Y463" s="169"/>
      <c r="Z463" s="169"/>
    </row>
    <row r="464" spans="24:26" ht="12.75">
      <c r="X464" s="169"/>
      <c r="Y464" s="169"/>
      <c r="Z464" s="169"/>
    </row>
    <row r="465" spans="24:26" ht="12.75">
      <c r="X465" s="169"/>
      <c r="Y465" s="169"/>
      <c r="Z465" s="169"/>
    </row>
    <row r="466" spans="24:26" ht="12.75">
      <c r="X466" s="169"/>
      <c r="Y466" s="169"/>
      <c r="Z466" s="169"/>
    </row>
    <row r="467" spans="24:26" ht="12.75">
      <c r="X467" s="169"/>
      <c r="Y467" s="169"/>
      <c r="Z467" s="169"/>
    </row>
    <row r="468" spans="24:26" ht="12.75">
      <c r="X468" s="169"/>
      <c r="Y468" s="169"/>
      <c r="Z468" s="169"/>
    </row>
    <row r="469" spans="24:26" ht="12.75">
      <c r="X469" s="169"/>
      <c r="Y469" s="169"/>
      <c r="Z469" s="169"/>
    </row>
    <row r="470" spans="24:26" ht="12.75">
      <c r="X470" s="169"/>
      <c r="Y470" s="169"/>
      <c r="Z470" s="169"/>
    </row>
    <row r="471" spans="24:26" ht="12.75">
      <c r="X471" s="169"/>
      <c r="Y471" s="169"/>
      <c r="Z471" s="169"/>
    </row>
    <row r="472" spans="24:26" ht="12.75">
      <c r="X472" s="169"/>
      <c r="Y472" s="169"/>
      <c r="Z472" s="169"/>
    </row>
    <row r="473" spans="24:26" ht="12.75">
      <c r="X473" s="169"/>
      <c r="Y473" s="169"/>
      <c r="Z473" s="169"/>
    </row>
    <row r="474" spans="24:26" ht="12.75">
      <c r="X474" s="169"/>
      <c r="Y474" s="169"/>
      <c r="Z474" s="169"/>
    </row>
    <row r="475" spans="24:26" ht="12.75">
      <c r="X475" s="169"/>
      <c r="Y475" s="169"/>
      <c r="Z475" s="169"/>
    </row>
    <row r="476" spans="24:26" ht="12.75">
      <c r="X476" s="169"/>
      <c r="Y476" s="169"/>
      <c r="Z476" s="169"/>
    </row>
    <row r="477" spans="24:26" ht="12.75">
      <c r="X477" s="169"/>
      <c r="Y477" s="169"/>
      <c r="Z477" s="169"/>
    </row>
    <row r="478" spans="24:26" ht="12.75">
      <c r="X478" s="169"/>
      <c r="Y478" s="169"/>
      <c r="Z478" s="169"/>
    </row>
    <row r="479" spans="24:26" ht="12.75">
      <c r="X479" s="169"/>
      <c r="Y479" s="169"/>
      <c r="Z479" s="169"/>
    </row>
    <row r="480" spans="24:26" ht="12.75">
      <c r="X480" s="169"/>
      <c r="Y480" s="169"/>
      <c r="Z480" s="169"/>
    </row>
    <row r="481" spans="24:26" ht="12.75">
      <c r="X481" s="169"/>
      <c r="Y481" s="169"/>
      <c r="Z481" s="169"/>
    </row>
    <row r="482" spans="24:26" ht="12.75">
      <c r="X482" s="169"/>
      <c r="Y482" s="169"/>
      <c r="Z482" s="169"/>
    </row>
    <row r="483" spans="24:26" ht="12.75">
      <c r="X483" s="169"/>
      <c r="Y483" s="169"/>
      <c r="Z483" s="169"/>
    </row>
    <row r="484" spans="24:26" ht="12.75">
      <c r="X484" s="169"/>
      <c r="Y484" s="169"/>
      <c r="Z484" s="169"/>
    </row>
    <row r="485" spans="24:26" ht="12.75">
      <c r="X485" s="169"/>
      <c r="Y485" s="169"/>
      <c r="Z485" s="169"/>
    </row>
    <row r="486" spans="24:26" ht="12.75">
      <c r="X486" s="169"/>
      <c r="Y486" s="169"/>
      <c r="Z486" s="169"/>
    </row>
    <row r="487" spans="24:26" ht="12.75">
      <c r="X487" s="169"/>
      <c r="Y487" s="169"/>
      <c r="Z487" s="169"/>
    </row>
    <row r="488" spans="24:26" ht="12.75">
      <c r="X488" s="169"/>
      <c r="Y488" s="169"/>
      <c r="Z488" s="169"/>
    </row>
    <row r="489" spans="24:26" ht="12.75">
      <c r="X489" s="169"/>
      <c r="Y489" s="169"/>
      <c r="Z489" s="169"/>
    </row>
    <row r="490" spans="24:26" ht="12.75">
      <c r="X490" s="169"/>
      <c r="Y490" s="169"/>
      <c r="Z490" s="169"/>
    </row>
    <row r="491" spans="24:26" ht="12.75">
      <c r="X491" s="169"/>
      <c r="Y491" s="169"/>
      <c r="Z491" s="169"/>
    </row>
    <row r="492" spans="24:26" ht="12.75">
      <c r="X492" s="169"/>
      <c r="Y492" s="169"/>
      <c r="Z492" s="169"/>
    </row>
    <row r="493" spans="24:26" ht="12.75">
      <c r="X493" s="169"/>
      <c r="Y493" s="169"/>
      <c r="Z493" s="169"/>
    </row>
    <row r="494" spans="24:26" ht="12.75">
      <c r="X494" s="169"/>
      <c r="Y494" s="169"/>
      <c r="Z494" s="169"/>
    </row>
    <row r="495" spans="24:26" ht="12.75">
      <c r="X495" s="169"/>
      <c r="Y495" s="169"/>
      <c r="Z495" s="169"/>
    </row>
    <row r="496" spans="24:26" ht="12.75">
      <c r="X496" s="169"/>
      <c r="Y496" s="169"/>
      <c r="Z496" s="169"/>
    </row>
    <row r="497" spans="24:26" ht="12.75">
      <c r="X497" s="169"/>
      <c r="Y497" s="169"/>
      <c r="Z497" s="169"/>
    </row>
    <row r="498" spans="24:26" ht="12.75">
      <c r="X498" s="169"/>
      <c r="Y498" s="169"/>
      <c r="Z498" s="169"/>
    </row>
    <row r="499" spans="24:26" ht="12.75">
      <c r="X499" s="169"/>
      <c r="Y499" s="169"/>
      <c r="Z499" s="169"/>
    </row>
    <row r="500" spans="24:26" ht="12.75">
      <c r="X500" s="169"/>
      <c r="Y500" s="169"/>
      <c r="Z500" s="169"/>
    </row>
    <row r="501" spans="24:26" ht="12.75">
      <c r="X501" s="169"/>
      <c r="Y501" s="169"/>
      <c r="Z501" s="169"/>
    </row>
    <row r="502" spans="24:26" ht="12.75">
      <c r="X502" s="169"/>
      <c r="Y502" s="169"/>
      <c r="Z502" s="169"/>
    </row>
    <row r="503" spans="24:26" ht="12.75">
      <c r="X503" s="169"/>
      <c r="Y503" s="169"/>
      <c r="Z503" s="169"/>
    </row>
  </sheetData>
  <sheetProtection/>
  <mergeCells count="9">
    <mergeCell ref="A104:D104"/>
    <mergeCell ref="A12:J12"/>
    <mergeCell ref="A13:J13"/>
    <mergeCell ref="A17:E17"/>
    <mergeCell ref="A1:I1"/>
    <mergeCell ref="B5:G5"/>
    <mergeCell ref="B7:F7"/>
    <mergeCell ref="B9:F9"/>
    <mergeCell ref="A11:J11"/>
  </mergeCells>
  <dataValidations count="2">
    <dataValidation type="list" allowBlank="1" showDropDown="1" showInputMessage="1" showErrorMessage="1" errorTitle="Incorrect Value" error="Please use either an &quot;X&quot; or &quot;x&quot; in these cells" sqref="C54:C102">
      <formula1>"X,x"</formula1>
    </dataValidation>
    <dataValidation allowBlank="1" showInputMessage="1" showErrorMessage="1" sqref="C19:C53 B19:B103 D19:D103"/>
  </dataValidations>
  <hyperlinks>
    <hyperlink ref="A12" r:id="rId1" display="http://www.gsa.gov/portal/category/21287"/>
  </hyperlinks>
  <printOptions horizontalCentered="1"/>
  <pageMargins left="1" right="0.75" top="0.75" bottom="0.75" header="0.25" footer="0.25"/>
  <pageSetup fitToHeight="3" horizontalDpi="600" verticalDpi="600" orientation="portrait" scale="81" r:id="rId4"/>
  <headerFooter alignWithMargins="0">
    <oddFooter>&amp;C&amp;P</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dimension ref="A1:G9"/>
  <sheetViews>
    <sheetView zoomScale="80" zoomScaleNormal="80" zoomScalePageLayoutView="0" workbookViewId="0" topLeftCell="A10">
      <selection activeCell="M4" sqref="M4"/>
    </sheetView>
  </sheetViews>
  <sheetFormatPr defaultColWidth="9.00390625" defaultRowHeight="14.25"/>
  <cols>
    <col min="1" max="1" width="8.125" style="48" bestFit="1" customWidth="1"/>
    <col min="2" max="2" width="8.875" style="48" bestFit="1" customWidth="1"/>
    <col min="3" max="3" width="7.75390625" style="48" bestFit="1" customWidth="1"/>
    <col min="4" max="5" width="7.125" style="48" bestFit="1" customWidth="1"/>
    <col min="6" max="6" width="8.625" style="48" bestFit="1" customWidth="1"/>
    <col min="7" max="7" width="7.125" style="48" bestFit="1" customWidth="1"/>
    <col min="8" max="16384" width="9.00390625" style="48" customWidth="1"/>
  </cols>
  <sheetData>
    <row r="1" s="46" customFormat="1" ht="12.75">
      <c r="A1" s="45" t="s">
        <v>93</v>
      </c>
    </row>
    <row r="2" spans="1:7" ht="12.75">
      <c r="A2" s="47" t="s">
        <v>94</v>
      </c>
      <c r="B2" s="48" t="s">
        <v>83</v>
      </c>
      <c r="C2" s="47" t="s">
        <v>86</v>
      </c>
      <c r="D2" s="48" t="s">
        <v>87</v>
      </c>
      <c r="E2" s="48" t="s">
        <v>88</v>
      </c>
      <c r="F2" s="47" t="s">
        <v>95</v>
      </c>
      <c r="G2" s="49">
        <v>0.75</v>
      </c>
    </row>
    <row r="3" spans="1:6" ht="13.5">
      <c r="A3" s="48">
        <v>1</v>
      </c>
      <c r="B3" s="50">
        <v>0</v>
      </c>
      <c r="C3" s="50">
        <v>0</v>
      </c>
      <c r="D3" s="50">
        <v>0</v>
      </c>
      <c r="E3" s="50">
        <v>0</v>
      </c>
      <c r="F3" s="50">
        <v>0</v>
      </c>
    </row>
    <row r="4" spans="1:7" ht="13.5">
      <c r="A4" s="48">
        <v>2</v>
      </c>
      <c r="B4" s="50">
        <v>46</v>
      </c>
      <c r="C4" s="50">
        <v>7</v>
      </c>
      <c r="D4" s="50">
        <v>11</v>
      </c>
      <c r="E4" s="50">
        <v>23</v>
      </c>
      <c r="F4" s="50">
        <v>5</v>
      </c>
      <c r="G4" s="50">
        <f aca="true" t="shared" si="0" ref="G4:G9">+B4*0.75</f>
        <v>34.5</v>
      </c>
    </row>
    <row r="5" spans="1:7" ht="13.5">
      <c r="A5" s="48">
        <v>3</v>
      </c>
      <c r="B5" s="50">
        <v>51</v>
      </c>
      <c r="C5" s="50">
        <v>8</v>
      </c>
      <c r="D5" s="50">
        <v>12</v>
      </c>
      <c r="E5" s="50">
        <v>26</v>
      </c>
      <c r="F5" s="50">
        <v>5</v>
      </c>
      <c r="G5" s="50">
        <f t="shared" si="0"/>
        <v>38.25</v>
      </c>
    </row>
    <row r="6" spans="1:7" ht="13.5">
      <c r="A6" s="48">
        <v>4</v>
      </c>
      <c r="B6" s="50">
        <v>56</v>
      </c>
      <c r="C6" s="50">
        <v>9</v>
      </c>
      <c r="D6" s="50">
        <v>13</v>
      </c>
      <c r="E6" s="50">
        <v>29</v>
      </c>
      <c r="F6" s="50">
        <v>5</v>
      </c>
      <c r="G6" s="50">
        <f t="shared" si="0"/>
        <v>42</v>
      </c>
    </row>
    <row r="7" spans="1:7" ht="13.5">
      <c r="A7" s="48">
        <v>5</v>
      </c>
      <c r="B7" s="50">
        <v>61</v>
      </c>
      <c r="C7" s="50">
        <v>10</v>
      </c>
      <c r="D7" s="50">
        <v>15</v>
      </c>
      <c r="E7" s="50">
        <v>31</v>
      </c>
      <c r="F7" s="50">
        <v>5</v>
      </c>
      <c r="G7" s="50">
        <f t="shared" si="0"/>
        <v>45.75</v>
      </c>
    </row>
    <row r="8" spans="1:7" ht="13.5">
      <c r="A8" s="48">
        <v>6</v>
      </c>
      <c r="B8" s="50">
        <v>66</v>
      </c>
      <c r="C8" s="50">
        <v>11</v>
      </c>
      <c r="D8" s="50">
        <v>16</v>
      </c>
      <c r="E8" s="50">
        <v>34</v>
      </c>
      <c r="F8" s="50">
        <v>5</v>
      </c>
      <c r="G8" s="50">
        <f t="shared" si="0"/>
        <v>49.5</v>
      </c>
    </row>
    <row r="9" spans="1:7" ht="13.5">
      <c r="A9" s="48">
        <v>7</v>
      </c>
      <c r="B9" s="50">
        <v>71</v>
      </c>
      <c r="C9" s="50">
        <v>12</v>
      </c>
      <c r="D9" s="50">
        <v>18</v>
      </c>
      <c r="E9" s="50">
        <v>36</v>
      </c>
      <c r="F9" s="50">
        <v>5</v>
      </c>
      <c r="G9" s="50">
        <f t="shared" si="0"/>
        <v>53.25</v>
      </c>
    </row>
  </sheetData>
  <sheetProtection password="DE4F"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CF72"/>
  <sheetViews>
    <sheetView showGridLines="0" showZeros="0" tabSelected="1" workbookViewId="0" topLeftCell="A1">
      <pane xSplit="12" ySplit="10" topLeftCell="M11" activePane="bottomRight" state="frozen"/>
      <selection pane="topLeft" activeCell="A1" sqref="A1"/>
      <selection pane="topRight" activeCell="M1" sqref="M1"/>
      <selection pane="bottomLeft" activeCell="A11" sqref="A11"/>
      <selection pane="bottomRight" activeCell="D5" sqref="D5:O6"/>
    </sheetView>
  </sheetViews>
  <sheetFormatPr defaultColWidth="9.00390625" defaultRowHeight="15.75" customHeight="1"/>
  <cols>
    <col min="1" max="1" width="2.00390625" style="10" customWidth="1"/>
    <col min="2" max="3" width="2.375" style="10" customWidth="1"/>
    <col min="4" max="4" width="3.00390625" style="10" customWidth="1"/>
    <col min="5" max="5" width="3.50390625" style="10" customWidth="1"/>
    <col min="6" max="6" width="2.50390625" style="10" customWidth="1"/>
    <col min="7" max="7" width="6.375" style="10" customWidth="1"/>
    <col min="8" max="8" width="3.875" style="10" customWidth="1"/>
    <col min="9" max="9" width="1.12109375" style="10" customWidth="1"/>
    <col min="10" max="10" width="0.5" style="10" customWidth="1"/>
    <col min="11" max="11" width="1.37890625" style="10" customWidth="1"/>
    <col min="12" max="12" width="6.00390625" style="10" customWidth="1"/>
    <col min="13" max="13" width="5.375" style="10" customWidth="1"/>
    <col min="14" max="14" width="3.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7.625" style="10" hidden="1" customWidth="1"/>
    <col min="35" max="35" width="3.375" style="10" customWidth="1"/>
    <col min="36" max="39" width="3.125" style="10" customWidth="1"/>
    <col min="40" max="40" width="3.625" style="10" customWidth="1"/>
    <col min="41" max="49" width="9.00390625" style="10" hidden="1" customWidth="1"/>
    <col min="50" max="50" width="9.00390625" style="12" hidden="1" customWidth="1"/>
    <col min="51" max="51" width="9.00390625" style="10" hidden="1" customWidth="1"/>
    <col min="52" max="52" width="9.00390625" style="12" hidden="1" customWidth="1"/>
    <col min="53" max="53" width="8.50390625" style="10" hidden="1" customWidth="1"/>
    <col min="54" max="54" width="8.25390625" style="10" hidden="1" customWidth="1"/>
    <col min="55" max="55" width="5.75390625" style="12" hidden="1" customWidth="1"/>
    <col min="56" max="56" width="7.125" style="10" hidden="1" customWidth="1"/>
    <col min="57" max="57" width="5.875" style="10" hidden="1" customWidth="1"/>
    <col min="58" max="58" width="4.875" style="10" hidden="1" customWidth="1"/>
    <col min="59" max="73" width="0" style="10" hidden="1" customWidth="1"/>
    <col min="74" max="77" width="9.00390625" style="10" customWidth="1"/>
    <col min="78" max="78" width="0" style="10" hidden="1" customWidth="1"/>
    <col min="79" max="16384" width="9.00390625" style="10" customWidth="1"/>
  </cols>
  <sheetData>
    <row r="1" spans="18:54" s="12" customFormat="1" ht="14.25" customHeight="1">
      <c r="R1" s="81"/>
      <c r="BB1" s="12" t="str">
        <f>IF(M11="","0","1")</f>
        <v>1</v>
      </c>
    </row>
    <row r="2" s="12" customFormat="1" ht="14.25" customHeight="1">
      <c r="BI2" s="310"/>
    </row>
    <row r="3" spans="2:40" s="12" customFormat="1" ht="19.5" customHeight="1">
      <c r="B3" s="311"/>
      <c r="C3" s="311"/>
      <c r="D3" s="311"/>
      <c r="F3" s="311"/>
      <c r="G3" s="311"/>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I3" s="311"/>
      <c r="AJ3" s="311"/>
      <c r="AK3" s="311"/>
      <c r="AL3" s="311"/>
      <c r="AM3" s="311"/>
      <c r="AN3" s="311"/>
    </row>
    <row r="4" spans="1:40" ht="20.25" customHeight="1">
      <c r="A4" s="12"/>
      <c r="B4" s="225"/>
      <c r="C4" s="225"/>
      <c r="D4" s="225"/>
      <c r="E4" s="12"/>
      <c r="F4" s="225"/>
      <c r="G4" s="12"/>
      <c r="H4" s="12"/>
      <c r="I4" s="12"/>
      <c r="J4" s="225"/>
      <c r="K4" s="12"/>
      <c r="L4" s="12" t="s">
        <v>32</v>
      </c>
      <c r="M4" s="12"/>
      <c r="N4" s="82">
        <f>('Week 1'!BB1+'Week 2'!BB1+'Week 3'!BB1+'Week 4'!BB1+'Week 5'!BB1+'Week 6'!BB1+'Week 7'!BB1+'Week 8'!BB1+'Week 9'!BB1+'Week 10'!BB1+'Week 11'!BB1+'Week 12'!BB1+'Week 13'!BB1)</f>
        <v>1</v>
      </c>
      <c r="O4" s="225"/>
      <c r="P4" s="579" t="s">
        <v>133</v>
      </c>
      <c r="Q4" s="579"/>
      <c r="R4" s="579"/>
      <c r="S4" s="579"/>
      <c r="T4" s="579"/>
      <c r="U4" s="579"/>
      <c r="V4" s="579"/>
      <c r="W4" s="579"/>
      <c r="X4" s="579"/>
      <c r="Y4" s="579"/>
      <c r="Z4" s="579"/>
      <c r="AA4" s="579"/>
      <c r="AB4" s="579"/>
      <c r="AC4" s="579"/>
      <c r="AD4" s="225"/>
      <c r="AE4" s="225"/>
      <c r="AF4" s="225"/>
      <c r="AG4" s="225"/>
      <c r="AH4" s="225"/>
      <c r="AI4" s="225"/>
      <c r="AJ4" s="225"/>
      <c r="AK4" s="225"/>
      <c r="AL4" s="225"/>
      <c r="AM4" s="225"/>
      <c r="AN4" s="225"/>
    </row>
    <row r="5" spans="1:84" s="11" customFormat="1" ht="18" customHeight="1">
      <c r="A5" s="535" t="s">
        <v>106</v>
      </c>
      <c r="B5" s="536"/>
      <c r="C5" s="537"/>
      <c r="D5" s="541"/>
      <c r="E5" s="542"/>
      <c r="F5" s="542"/>
      <c r="G5" s="542"/>
      <c r="H5" s="542"/>
      <c r="I5" s="542"/>
      <c r="J5" s="542"/>
      <c r="K5" s="542"/>
      <c r="L5" s="542"/>
      <c r="M5" s="542"/>
      <c r="N5" s="542"/>
      <c r="O5" s="543"/>
      <c r="P5" s="547" t="s">
        <v>70</v>
      </c>
      <c r="Q5" s="495"/>
      <c r="R5" s="509"/>
      <c r="S5" s="510"/>
      <c r="T5" s="510"/>
      <c r="U5" s="510"/>
      <c r="V5" s="510"/>
      <c r="W5" s="510"/>
      <c r="X5" s="510"/>
      <c r="Y5" s="510"/>
      <c r="Z5" s="510"/>
      <c r="AA5" s="510"/>
      <c r="AB5" s="510"/>
      <c r="AC5" s="511"/>
      <c r="AD5" s="508" t="s">
        <v>19</v>
      </c>
      <c r="AE5" s="508"/>
      <c r="AF5" s="508"/>
      <c r="AG5" s="508"/>
      <c r="AH5" s="508"/>
      <c r="AI5" s="508"/>
      <c r="AJ5" s="508"/>
      <c r="AK5" s="508"/>
      <c r="AL5" s="508" t="s">
        <v>56</v>
      </c>
      <c r="AM5" s="508"/>
      <c r="AN5" s="508"/>
      <c r="AO5" s="65"/>
      <c r="AP5" s="65"/>
      <c r="AQ5" s="66"/>
      <c r="AR5" s="66"/>
      <c r="AS5" s="66"/>
      <c r="AT5" s="66"/>
      <c r="AU5" s="66"/>
      <c r="AV5" s="66"/>
      <c r="AW5" s="66"/>
      <c r="AX5" s="223"/>
      <c r="AY5" s="66"/>
      <c r="AZ5" s="223"/>
      <c r="BA5" s="66"/>
      <c r="BB5" s="66"/>
      <c r="BC5" s="223"/>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row>
    <row r="6" spans="1:84" s="11" customFormat="1" ht="18" customHeight="1">
      <c r="A6" s="538"/>
      <c r="B6" s="539"/>
      <c r="C6" s="540"/>
      <c r="D6" s="544"/>
      <c r="E6" s="545"/>
      <c r="F6" s="545"/>
      <c r="G6" s="545"/>
      <c r="H6" s="545"/>
      <c r="I6" s="545"/>
      <c r="J6" s="545"/>
      <c r="K6" s="545"/>
      <c r="L6" s="545"/>
      <c r="M6" s="545"/>
      <c r="N6" s="545"/>
      <c r="O6" s="546"/>
      <c r="P6" s="548" t="s">
        <v>21</v>
      </c>
      <c r="Q6" s="549"/>
      <c r="R6" s="509"/>
      <c r="S6" s="510"/>
      <c r="T6" s="510"/>
      <c r="U6" s="510"/>
      <c r="V6" s="510"/>
      <c r="W6" s="510"/>
      <c r="X6" s="510"/>
      <c r="Y6" s="510"/>
      <c r="Z6" s="510"/>
      <c r="AA6" s="510"/>
      <c r="AB6" s="510"/>
      <c r="AC6" s="511"/>
      <c r="AD6" s="346"/>
      <c r="AE6" s="347"/>
      <c r="AF6" s="347"/>
      <c r="AG6" s="347"/>
      <c r="AH6" s="347"/>
      <c r="AI6" s="347"/>
      <c r="AJ6" s="347"/>
      <c r="AK6" s="348"/>
      <c r="AL6" s="83" t="s">
        <v>14</v>
      </c>
      <c r="AM6" s="512"/>
      <c r="AN6" s="513"/>
      <c r="AO6" s="66"/>
      <c r="AP6" s="65"/>
      <c r="AQ6" s="65"/>
      <c r="AR6" s="65"/>
      <c r="AS6" s="65"/>
      <c r="AT6" s="65"/>
      <c r="AU6" s="66"/>
      <c r="AV6" s="66"/>
      <c r="AW6" s="66"/>
      <c r="AX6" s="223">
        <f>LEFT(AD6)</f>
      </c>
      <c r="AY6" s="66"/>
      <c r="AZ6" s="223"/>
      <c r="BA6" s="66"/>
      <c r="BB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row>
    <row r="7" spans="1:55" s="11" customFormat="1" ht="13.5" customHeight="1">
      <c r="A7" s="550" t="s">
        <v>20</v>
      </c>
      <c r="B7" s="551"/>
      <c r="C7" s="551"/>
      <c r="D7" s="552"/>
      <c r="E7" s="552"/>
      <c r="F7" s="552"/>
      <c r="G7" s="553"/>
      <c r="H7" s="553"/>
      <c r="I7" s="553"/>
      <c r="J7" s="553"/>
      <c r="K7" s="553"/>
      <c r="L7" s="554"/>
      <c r="M7" s="515" t="s">
        <v>107</v>
      </c>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3"/>
      <c r="AX7" s="224" t="str">
        <f>IF(AX6="G","True","FALSE")</f>
        <v>FALSE</v>
      </c>
      <c r="AZ7" s="224"/>
      <c r="BC7" s="224"/>
    </row>
    <row r="8" spans="1:52" ht="15.75" customHeight="1">
      <c r="A8" s="561" t="s">
        <v>75</v>
      </c>
      <c r="B8" s="562"/>
      <c r="C8" s="562"/>
      <c r="D8" s="562"/>
      <c r="E8" s="562"/>
      <c r="F8" s="563"/>
      <c r="G8" s="564"/>
      <c r="H8" s="565"/>
      <c r="I8" s="565"/>
      <c r="J8" s="565"/>
      <c r="K8" s="565"/>
      <c r="L8" s="565"/>
      <c r="M8" s="586"/>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8"/>
      <c r="AX8" s="12">
        <f>LEN(AD6)</f>
        <v>0</v>
      </c>
      <c r="AZ8" s="12" t="str">
        <f>IF(AND(D5&gt;0,R5&gt;0,R6&gt;0,AD6&gt;0,AM6&gt;0,G8&gt;0,G9&gt;0,M8&gt;0),"YES","NO")</f>
        <v>NO</v>
      </c>
    </row>
    <row r="9" spans="1:56" ht="15.75" customHeight="1">
      <c r="A9" s="561" t="s">
        <v>78</v>
      </c>
      <c r="B9" s="562"/>
      <c r="C9" s="562"/>
      <c r="D9" s="562"/>
      <c r="E9" s="562"/>
      <c r="F9" s="563"/>
      <c r="G9" s="564"/>
      <c r="H9" s="566"/>
      <c r="I9" s="566"/>
      <c r="J9" s="566"/>
      <c r="K9" s="566"/>
      <c r="L9" s="566"/>
      <c r="M9" s="589"/>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1"/>
      <c r="AX9" s="12" t="str">
        <f>IF(OR(AX8=9,AX8=0),"True","FALSE")</f>
        <v>True</v>
      </c>
      <c r="BA9" s="223">
        <f>(G9-G8)+1</f>
        <v>1</v>
      </c>
      <c r="BC9" s="12" t="str">
        <f>IF(BA9&gt;84,"NO","OK")</f>
        <v>OK</v>
      </c>
      <c r="BD9" s="12" t="str">
        <f>IF(AM9="x","TRUE","FALSE")</f>
        <v>FALSE</v>
      </c>
    </row>
    <row r="10" spans="1:40" ht="13.5" customHeight="1" hidden="1">
      <c r="A10" s="51"/>
      <c r="B10" s="52"/>
      <c r="C10" s="52"/>
      <c r="D10" s="52"/>
      <c r="E10" s="52"/>
      <c r="F10" s="52"/>
      <c r="G10" s="52"/>
      <c r="H10" s="52"/>
      <c r="I10" s="52"/>
      <c r="J10" s="52"/>
      <c r="K10" s="52"/>
      <c r="L10" s="53"/>
      <c r="M10" s="558">
        <v>1</v>
      </c>
      <c r="N10" s="485"/>
      <c r="O10" s="485"/>
      <c r="P10" s="485">
        <f>IF(M10&lt;&gt;0,+M10+1,0)</f>
        <v>2</v>
      </c>
      <c r="Q10" s="485"/>
      <c r="R10" s="485"/>
      <c r="S10" s="485">
        <f>IF(P10&lt;&gt;0,+P10+1,0)</f>
        <v>3</v>
      </c>
      <c r="T10" s="485"/>
      <c r="U10" s="485"/>
      <c r="V10" s="485">
        <f>IF(S10&lt;&gt;0,+S10+1,0)</f>
        <v>4</v>
      </c>
      <c r="W10" s="485"/>
      <c r="X10" s="485"/>
      <c r="Y10" s="485">
        <f>IF(V10&lt;&gt;0,+V10+1,0)</f>
        <v>5</v>
      </c>
      <c r="Z10" s="485"/>
      <c r="AA10" s="485"/>
      <c r="AB10" s="485">
        <f>IF(Y10&lt;&gt;0,+Y10+1,0)</f>
        <v>6</v>
      </c>
      <c r="AC10" s="485"/>
      <c r="AD10" s="485"/>
      <c r="AE10" s="485">
        <f>IF(AB10&lt;&gt;0,+AB10+1,0)</f>
        <v>7</v>
      </c>
      <c r="AF10" s="485"/>
      <c r="AG10" s="485"/>
      <c r="AH10" s="54"/>
      <c r="AI10" s="54"/>
      <c r="AJ10" s="54"/>
      <c r="AK10" s="54"/>
      <c r="AL10" s="54"/>
      <c r="AM10" s="54"/>
      <c r="AN10" s="55"/>
    </row>
    <row r="11" spans="1:55" s="11" customFormat="1" ht="13.5" customHeight="1">
      <c r="A11" s="85"/>
      <c r="B11" s="84"/>
      <c r="C11" s="84"/>
      <c r="D11" s="84"/>
      <c r="E11" s="84"/>
      <c r="F11" s="84"/>
      <c r="G11" s="84"/>
      <c r="H11" s="470" t="s">
        <v>48</v>
      </c>
      <c r="I11" s="470"/>
      <c r="J11" s="470"/>
      <c r="K11" s="470"/>
      <c r="L11" s="471"/>
      <c r="M11" s="366">
        <f>G8</f>
        <v>0</v>
      </c>
      <c r="N11" s="367"/>
      <c r="O11" s="368"/>
      <c r="P11" s="469">
        <f>IF(P10&lt;='Per Diem Calc Tool'!$O$7+1,M11+1,"")</f>
      </c>
      <c r="Q11" s="469"/>
      <c r="R11" s="469"/>
      <c r="S11" s="469">
        <f>IF(S10&lt;='Per Diem Calc Tool'!$O$7+1,P11+1,"")</f>
      </c>
      <c r="T11" s="469"/>
      <c r="U11" s="469"/>
      <c r="V11" s="469">
        <f>IF(V10&lt;='Per Diem Calc Tool'!$O$7+1,S11+1,"")</f>
      </c>
      <c r="W11" s="469"/>
      <c r="X11" s="469"/>
      <c r="Y11" s="469">
        <f>IF(Y10&lt;='Per Diem Calc Tool'!$O$7+1,V11+1,"")</f>
      </c>
      <c r="Z11" s="469"/>
      <c r="AA11" s="469"/>
      <c r="AB11" s="469">
        <f>IF(AB10&lt;='Per Diem Calc Tool'!$O$7+1,Y11+1,"")</f>
      </c>
      <c r="AC11" s="469"/>
      <c r="AD11" s="469"/>
      <c r="AE11" s="469">
        <f>IF(AE10&lt;='Per Diem Calc Tool'!$O$7+1,AB11+1,"")</f>
      </c>
      <c r="AF11" s="469"/>
      <c r="AG11" s="469"/>
      <c r="AH11" s="86"/>
      <c r="AI11" s="315"/>
      <c r="AJ11" s="315"/>
      <c r="AK11" s="315"/>
      <c r="AL11" s="315"/>
      <c r="AM11" s="315"/>
      <c r="AN11" s="313"/>
      <c r="AW11" s="66"/>
      <c r="AX11" s="223"/>
      <c r="AZ11" s="224"/>
      <c r="BC11" s="224"/>
    </row>
    <row r="12" spans="1:55" s="11" customFormat="1" ht="13.5" customHeight="1">
      <c r="A12" s="87"/>
      <c r="B12" s="5"/>
      <c r="C12" s="5"/>
      <c r="D12" s="5"/>
      <c r="E12" s="5"/>
      <c r="F12" s="251"/>
      <c r="G12" s="88"/>
      <c r="H12" s="88" t="s">
        <v>117</v>
      </c>
      <c r="I12" s="251"/>
      <c r="J12" s="89"/>
      <c r="K12" s="89"/>
      <c r="L12" s="90"/>
      <c r="M12" s="491">
        <f>M11</f>
        <v>0</v>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92"/>
      <c r="AJ12" s="92"/>
      <c r="AK12" s="92"/>
      <c r="AL12" s="92"/>
      <c r="AM12" s="92"/>
      <c r="AN12" s="314"/>
      <c r="AW12" s="66"/>
      <c r="AX12" s="223"/>
      <c r="AZ12" s="224"/>
      <c r="BC12" s="224"/>
    </row>
    <row r="13" spans="1:55" s="11" customFormat="1" ht="12" customHeight="1">
      <c r="A13" s="555" t="s">
        <v>31</v>
      </c>
      <c r="B13" s="556"/>
      <c r="C13" s="556"/>
      <c r="D13" s="556"/>
      <c r="E13" s="556"/>
      <c r="F13" s="556"/>
      <c r="G13" s="557"/>
      <c r="H13" s="408" t="s">
        <v>213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68"/>
      <c r="AI13" s="92"/>
      <c r="AJ13" s="312"/>
      <c r="AK13" s="312"/>
      <c r="AL13" s="93"/>
      <c r="AM13" s="93"/>
      <c r="AN13" s="94"/>
      <c r="AX13" s="224"/>
      <c r="AZ13" s="224"/>
      <c r="BC13" s="224"/>
    </row>
    <row r="14" spans="1:55" s="11" customFormat="1" ht="12" customHeight="1">
      <c r="A14" s="122"/>
      <c r="B14" s="123"/>
      <c r="C14" s="123"/>
      <c r="D14" s="123"/>
      <c r="E14" s="123"/>
      <c r="F14" s="123"/>
      <c r="G14" s="123"/>
      <c r="H14" s="361" t="s">
        <v>3</v>
      </c>
      <c r="I14" s="362"/>
      <c r="J14" s="362"/>
      <c r="K14" s="362"/>
      <c r="L14" s="363"/>
      <c r="M14" s="358"/>
      <c r="N14" s="359"/>
      <c r="O14" s="360"/>
      <c r="P14" s="358"/>
      <c r="Q14" s="359"/>
      <c r="R14" s="360"/>
      <c r="S14" s="358"/>
      <c r="T14" s="359"/>
      <c r="U14" s="360"/>
      <c r="V14" s="358"/>
      <c r="W14" s="359"/>
      <c r="X14" s="360"/>
      <c r="Y14" s="358"/>
      <c r="Z14" s="359"/>
      <c r="AA14" s="360"/>
      <c r="AB14" s="358"/>
      <c r="AC14" s="359"/>
      <c r="AD14" s="360"/>
      <c r="AE14" s="358"/>
      <c r="AF14" s="359"/>
      <c r="AG14" s="360"/>
      <c r="AH14" s="69"/>
      <c r="AI14" s="92"/>
      <c r="AJ14" s="93"/>
      <c r="AK14" s="93"/>
      <c r="AL14" s="93"/>
      <c r="AM14" s="93"/>
      <c r="AN14" s="94"/>
      <c r="AX14" s="224"/>
      <c r="AZ14" s="224"/>
      <c r="BC14" s="224"/>
    </row>
    <row r="15" spans="1:55" s="11" customFormat="1" ht="12" customHeight="1">
      <c r="A15" s="122"/>
      <c r="B15" s="123"/>
      <c r="C15" s="123"/>
      <c r="D15" s="123"/>
      <c r="E15" s="123"/>
      <c r="F15" s="123"/>
      <c r="G15" s="123"/>
      <c r="H15" s="361" t="s">
        <v>30</v>
      </c>
      <c r="I15" s="362"/>
      <c r="J15" s="362"/>
      <c r="K15" s="362"/>
      <c r="L15" s="363"/>
      <c r="M15" s="358"/>
      <c r="N15" s="359"/>
      <c r="O15" s="360"/>
      <c r="P15" s="358"/>
      <c r="Q15" s="359"/>
      <c r="R15" s="360"/>
      <c r="S15" s="358"/>
      <c r="T15" s="359"/>
      <c r="U15" s="360"/>
      <c r="V15" s="358"/>
      <c r="W15" s="359"/>
      <c r="X15" s="360"/>
      <c r="Y15" s="358"/>
      <c r="Z15" s="359"/>
      <c r="AA15" s="360"/>
      <c r="AB15" s="358"/>
      <c r="AC15" s="359"/>
      <c r="AD15" s="360"/>
      <c r="AE15" s="358"/>
      <c r="AF15" s="359"/>
      <c r="AG15" s="360"/>
      <c r="AH15" s="69"/>
      <c r="AI15" s="92"/>
      <c r="AJ15" s="93"/>
      <c r="AK15" s="93"/>
      <c r="AL15" s="93"/>
      <c r="AM15" s="93"/>
      <c r="AN15" s="94"/>
      <c r="AX15" s="224"/>
      <c r="AZ15" s="224"/>
      <c r="BC15" s="224"/>
    </row>
    <row r="16" spans="1:55" s="11" customFormat="1" ht="12" customHeight="1">
      <c r="A16" s="122"/>
      <c r="B16" s="123"/>
      <c r="C16" s="123"/>
      <c r="D16" s="123"/>
      <c r="E16" s="123"/>
      <c r="F16" s="123"/>
      <c r="G16" s="123"/>
      <c r="H16" s="408" t="s">
        <v>4</v>
      </c>
      <c r="I16" s="408"/>
      <c r="J16" s="408"/>
      <c r="K16" s="408"/>
      <c r="L16" s="408"/>
      <c r="M16" s="354"/>
      <c r="N16" s="354"/>
      <c r="O16" s="354"/>
      <c r="P16" s="354"/>
      <c r="Q16" s="354"/>
      <c r="R16" s="354"/>
      <c r="S16" s="354"/>
      <c r="T16" s="354"/>
      <c r="U16" s="354"/>
      <c r="V16" s="354"/>
      <c r="W16" s="354"/>
      <c r="X16" s="354"/>
      <c r="Y16" s="354"/>
      <c r="Z16" s="354"/>
      <c r="AA16" s="354"/>
      <c r="AB16" s="354"/>
      <c r="AC16" s="354"/>
      <c r="AD16" s="354"/>
      <c r="AE16" s="354"/>
      <c r="AF16" s="354"/>
      <c r="AG16" s="354"/>
      <c r="AH16" s="69"/>
      <c r="AI16" s="92"/>
      <c r="AJ16" s="93"/>
      <c r="AK16" s="93"/>
      <c r="AL16" s="93"/>
      <c r="AM16" s="93"/>
      <c r="AN16" s="94"/>
      <c r="AX16" s="224"/>
      <c r="AZ16" s="224"/>
      <c r="BC16" s="224"/>
    </row>
    <row r="17" spans="1:55" s="11" customFormat="1" ht="12" customHeight="1">
      <c r="A17" s="4"/>
      <c r="B17" s="124" t="s">
        <v>41</v>
      </c>
      <c r="C17" s="127"/>
      <c r="D17" s="127"/>
      <c r="E17" s="127"/>
      <c r="F17" s="127"/>
      <c r="G17" s="127"/>
      <c r="H17" s="127"/>
      <c r="I17" s="127"/>
      <c r="J17" s="127"/>
      <c r="K17" s="127"/>
      <c r="L17" s="127"/>
      <c r="M17" s="128" t="s">
        <v>46</v>
      </c>
      <c r="N17" s="355" t="s">
        <v>47</v>
      </c>
      <c r="O17" s="355"/>
      <c r="P17" s="128" t="s">
        <v>46</v>
      </c>
      <c r="Q17" s="355" t="s">
        <v>47</v>
      </c>
      <c r="R17" s="355"/>
      <c r="S17" s="128" t="s">
        <v>46</v>
      </c>
      <c r="T17" s="355" t="s">
        <v>47</v>
      </c>
      <c r="U17" s="355"/>
      <c r="V17" s="128" t="s">
        <v>46</v>
      </c>
      <c r="W17" s="355" t="s">
        <v>47</v>
      </c>
      <c r="X17" s="355"/>
      <c r="Y17" s="128" t="s">
        <v>46</v>
      </c>
      <c r="Z17" s="355" t="s">
        <v>47</v>
      </c>
      <c r="AA17" s="355"/>
      <c r="AB17" s="128" t="s">
        <v>46</v>
      </c>
      <c r="AC17" s="355" t="s">
        <v>47</v>
      </c>
      <c r="AD17" s="355"/>
      <c r="AE17" s="128" t="s">
        <v>46</v>
      </c>
      <c r="AF17" s="355" t="s">
        <v>47</v>
      </c>
      <c r="AG17" s="355"/>
      <c r="AH17" s="5"/>
      <c r="AI17" s="486" t="s">
        <v>29</v>
      </c>
      <c r="AJ17" s="487"/>
      <c r="AK17" s="488"/>
      <c r="AL17" s="605" t="s">
        <v>28</v>
      </c>
      <c r="AM17" s="606"/>
      <c r="AN17" s="607"/>
      <c r="AX17" s="224"/>
      <c r="AY17" s="70"/>
      <c r="AZ17" s="224"/>
      <c r="BC17" s="224"/>
    </row>
    <row r="18" spans="1:55" s="11" customFormat="1" ht="17.25" customHeight="1">
      <c r="A18" s="87"/>
      <c r="B18" s="87"/>
      <c r="C18" s="356" t="s">
        <v>114</v>
      </c>
      <c r="D18" s="357"/>
      <c r="E18" s="357"/>
      <c r="F18" s="357"/>
      <c r="G18" s="357"/>
      <c r="H18" s="345">
        <f>IF(G8=0,0,IF(G8&gt;=Instructions!$C$33,Instructions!D33,IF(G8&lt;Instructions!$C$33,Instructions!D32,0)))</f>
        <v>0</v>
      </c>
      <c r="I18" s="345"/>
      <c r="J18" s="126"/>
      <c r="K18" s="559" t="s">
        <v>108</v>
      </c>
      <c r="L18" s="560"/>
      <c r="M18" s="307">
        <f>IF(N18&gt;0,H18,"")</f>
      </c>
      <c r="N18" s="373"/>
      <c r="O18" s="374"/>
      <c r="P18" s="307">
        <f>IF(Q18&gt;0,H18,"")</f>
      </c>
      <c r="Q18" s="373"/>
      <c r="R18" s="374"/>
      <c r="S18" s="307">
        <f>IF(T18&gt;0,H18,"")</f>
      </c>
      <c r="T18" s="373"/>
      <c r="U18" s="374"/>
      <c r="V18" s="307">
        <f>IF(W18&gt;0,H18,"")</f>
      </c>
      <c r="W18" s="373"/>
      <c r="X18" s="374"/>
      <c r="Y18" s="307">
        <f>IF(Z18&gt;0,H18,"")</f>
      </c>
      <c r="Z18" s="373"/>
      <c r="AA18" s="374"/>
      <c r="AB18" s="307">
        <f>IF(AC18&gt;0,H18,"")</f>
      </c>
      <c r="AC18" s="373"/>
      <c r="AD18" s="374"/>
      <c r="AE18" s="307">
        <f>IF(AF18&gt;0,H18,"")</f>
      </c>
      <c r="AF18" s="373"/>
      <c r="AG18" s="374"/>
      <c r="AH18" s="2"/>
      <c r="AI18" s="489"/>
      <c r="AJ18" s="489"/>
      <c r="AK18" s="490"/>
      <c r="AL18" s="608"/>
      <c r="AM18" s="609"/>
      <c r="AN18" s="610"/>
      <c r="AX18" s="224"/>
      <c r="AZ18" s="224"/>
      <c r="BC18" s="224"/>
    </row>
    <row r="19" spans="1:55" s="11" customFormat="1" ht="17.25" customHeight="1">
      <c r="A19" s="87"/>
      <c r="B19" s="4"/>
      <c r="C19" s="350" t="s">
        <v>110</v>
      </c>
      <c r="D19" s="351"/>
      <c r="E19" s="351"/>
      <c r="F19" s="351"/>
      <c r="G19" s="351"/>
      <c r="H19" s="351"/>
      <c r="I19" s="351"/>
      <c r="J19" s="351"/>
      <c r="K19" s="351"/>
      <c r="L19" s="352"/>
      <c r="M19" s="353">
        <f>IF(M18&lt;&gt;"",N18*M18,+N18*$H$18)</f>
        <v>0</v>
      </c>
      <c r="N19" s="353"/>
      <c r="O19" s="353"/>
      <c r="P19" s="353">
        <f>IF(P18&lt;&gt;"",Q18*P18,+Q18*$H$18)</f>
        <v>0</v>
      </c>
      <c r="Q19" s="353"/>
      <c r="R19" s="353"/>
      <c r="S19" s="353">
        <f>IF(S18&lt;&gt;"",T18*S18,+T18*$H$18)</f>
        <v>0</v>
      </c>
      <c r="T19" s="353"/>
      <c r="U19" s="353"/>
      <c r="V19" s="353">
        <f>IF(V18&lt;&gt;"",W18*V18,+W18*$H$18)</f>
        <v>0</v>
      </c>
      <c r="W19" s="353"/>
      <c r="X19" s="353"/>
      <c r="Y19" s="353">
        <f>IF(Y18&lt;&gt;"",Z18*Y18,+Z18*$H$18)</f>
        <v>0</v>
      </c>
      <c r="Z19" s="353"/>
      <c r="AA19" s="353"/>
      <c r="AB19" s="353">
        <f>IF(AB18&lt;&gt;"",AC18*AB18,+AC18*$H$18)</f>
        <v>0</v>
      </c>
      <c r="AC19" s="353"/>
      <c r="AD19" s="353"/>
      <c r="AE19" s="353">
        <f>IF(AE18&lt;&gt;"",AF18*AE18,+AF18*$H$18)</f>
        <v>0</v>
      </c>
      <c r="AF19" s="353"/>
      <c r="AG19" s="353"/>
      <c r="AH19" s="252"/>
      <c r="AI19" s="507">
        <f>SUM(M19:AG19)</f>
        <v>0</v>
      </c>
      <c r="AJ19" s="353"/>
      <c r="AK19" s="353"/>
      <c r="AL19" s="415">
        <f>AI19+'Week 2'!AI18+'Week 3'!AI18+'Week 4'!AI18+'Week 5'!AI18+'Week 6'!AI18+'Week 7'!AI18+'Week 8'!AI18+'Week 9'!AI18+'Week 10'!AI18+'Week 11'!AI18+'Week 12'!AI18+'Week 13'!AI18</f>
        <v>0</v>
      </c>
      <c r="AM19" s="416"/>
      <c r="AN19" s="417"/>
      <c r="AX19" s="224"/>
      <c r="AZ19" s="224"/>
      <c r="BC19" s="224"/>
    </row>
    <row r="20" spans="1:55" s="11" customFormat="1" ht="17.25" customHeight="1">
      <c r="A20" s="87"/>
      <c r="B20" s="4"/>
      <c r="C20" s="350" t="s">
        <v>96</v>
      </c>
      <c r="D20" s="351"/>
      <c r="E20" s="351"/>
      <c r="F20" s="351"/>
      <c r="G20" s="351"/>
      <c r="H20" s="379"/>
      <c r="I20" s="380"/>
      <c r="J20" s="380"/>
      <c r="K20" s="380"/>
      <c r="L20" s="381"/>
      <c r="M20" s="494"/>
      <c r="N20" s="494"/>
      <c r="O20" s="494"/>
      <c r="P20" s="369"/>
      <c r="Q20" s="369"/>
      <c r="R20" s="369"/>
      <c r="S20" s="369"/>
      <c r="T20" s="369"/>
      <c r="U20" s="369"/>
      <c r="V20" s="369"/>
      <c r="W20" s="369"/>
      <c r="X20" s="369"/>
      <c r="Y20" s="369"/>
      <c r="Z20" s="369"/>
      <c r="AA20" s="369"/>
      <c r="AB20" s="369"/>
      <c r="AC20" s="369"/>
      <c r="AD20" s="369"/>
      <c r="AE20" s="369"/>
      <c r="AF20" s="369"/>
      <c r="AG20" s="369"/>
      <c r="AH20" s="214"/>
      <c r="AI20" s="420">
        <f>SUM(M20:AG20)</f>
        <v>0</v>
      </c>
      <c r="AJ20" s="421"/>
      <c r="AK20" s="421"/>
      <c r="AL20" s="415">
        <f>AI20+'Week 2'!AI19+'Week 3'!AI19+'Week 4'!AI19+'Week 5'!AI19+'Week 6'!AI19+'Week 7'!AI19+'Week 8'!AI19+'Week 9'!AI19+'Week 10'!AI19+'Week 11'!AI19+'Week 12'!AI19+'Week 13'!AI19</f>
        <v>0</v>
      </c>
      <c r="AM20" s="416"/>
      <c r="AN20" s="417"/>
      <c r="AW20" s="224" t="str">
        <f>IF(OR(H20="Pcard",H20="PV",H20="Self"),"good","BAD")</f>
        <v>BAD</v>
      </c>
      <c r="AX20" s="224" t="str">
        <f>IF(OR(M20&gt;0,P20&gt;0,S20&gt;0,V20&gt;0,Y20&gt;0,AB20&gt;0,AE20&gt;0),"BAD","good")</f>
        <v>good</v>
      </c>
      <c r="AY20" s="224" t="str">
        <f>IF(AND(AW20="BAD",AX20="BAD"),"BAD","good")</f>
        <v>good</v>
      </c>
      <c r="AZ20" s="226"/>
      <c r="BC20" s="224"/>
    </row>
    <row r="21" spans="1:55" s="11" customFormat="1" ht="17.25" customHeight="1">
      <c r="A21" s="4"/>
      <c r="B21" s="98"/>
      <c r="C21" s="350" t="s">
        <v>100</v>
      </c>
      <c r="D21" s="351"/>
      <c r="E21" s="351"/>
      <c r="F21" s="351"/>
      <c r="G21" s="352"/>
      <c r="H21" s="379"/>
      <c r="I21" s="380"/>
      <c r="J21" s="380"/>
      <c r="K21" s="380"/>
      <c r="L21" s="381"/>
      <c r="M21" s="583"/>
      <c r="N21" s="584"/>
      <c r="O21" s="585"/>
      <c r="P21" s="370"/>
      <c r="Q21" s="371"/>
      <c r="R21" s="372"/>
      <c r="S21" s="370"/>
      <c r="T21" s="371"/>
      <c r="U21" s="372"/>
      <c r="V21" s="370"/>
      <c r="W21" s="371"/>
      <c r="X21" s="372"/>
      <c r="Y21" s="370"/>
      <c r="Z21" s="371"/>
      <c r="AA21" s="372"/>
      <c r="AB21" s="370"/>
      <c r="AC21" s="371"/>
      <c r="AD21" s="372"/>
      <c r="AE21" s="370"/>
      <c r="AF21" s="371"/>
      <c r="AG21" s="372"/>
      <c r="AH21" s="214"/>
      <c r="AI21" s="420">
        <f>SUM(M21:AG21)</f>
        <v>0</v>
      </c>
      <c r="AJ21" s="421"/>
      <c r="AK21" s="421"/>
      <c r="AL21" s="415">
        <f>AI21+'Week 2'!AI20+'Week 3'!AI20+'Week 4'!AI20+'Week 5'!AI20+'Week 6'!AI20+'Week 7'!AI20+'Week 8'!AI20+'Week 9'!AI20+'Week 10'!AI20+'Week 11'!AI20+'Week 12'!AI20+'Week 13'!AI20</f>
        <v>0</v>
      </c>
      <c r="AM21" s="416"/>
      <c r="AN21" s="417"/>
      <c r="AW21" s="224" t="str">
        <f aca="true" t="shared" si="0" ref="AW21:AW33">IF(OR(H21="Pcard",H21="PV",H21="Self"),"good","BAD")</f>
        <v>BAD</v>
      </c>
      <c r="AX21" s="224" t="str">
        <f aca="true" t="shared" si="1" ref="AX21:AX33">IF(OR(M21&gt;0,P21&gt;0,S21&gt;0,V21&gt;0,Y21&gt;0,AB21&gt;0,AE21&gt;0),"BAD","good")</f>
        <v>good</v>
      </c>
      <c r="AY21" s="224" t="str">
        <f aca="true" t="shared" si="2" ref="AY21:AY33">IF(AND(AW21="BAD",AX21="BAD"),"BAD","good")</f>
        <v>good</v>
      </c>
      <c r="AZ21" s="224"/>
      <c r="BC21" s="224"/>
    </row>
    <row r="22" spans="1:55" s="11" customFormat="1" ht="17.25" customHeight="1" hidden="1">
      <c r="A22" s="4"/>
      <c r="B22" s="6"/>
      <c r="C22" s="482"/>
      <c r="D22" s="483"/>
      <c r="E22" s="483"/>
      <c r="F22" s="483"/>
      <c r="G22" s="484"/>
      <c r="H22" s="410"/>
      <c r="I22" s="411"/>
      <c r="J22" s="411"/>
      <c r="K22" s="411"/>
      <c r="L22" s="412"/>
      <c r="M22" s="369"/>
      <c r="N22" s="369"/>
      <c r="O22" s="369"/>
      <c r="P22" s="369"/>
      <c r="Q22" s="369"/>
      <c r="R22" s="369"/>
      <c r="S22" s="369"/>
      <c r="T22" s="369"/>
      <c r="U22" s="369"/>
      <c r="V22" s="369"/>
      <c r="W22" s="369"/>
      <c r="X22" s="369"/>
      <c r="Y22" s="369"/>
      <c r="Z22" s="369"/>
      <c r="AA22" s="369"/>
      <c r="AB22" s="369"/>
      <c r="AC22" s="369"/>
      <c r="AD22" s="369"/>
      <c r="AE22" s="369"/>
      <c r="AF22" s="369"/>
      <c r="AG22" s="369"/>
      <c r="AH22" s="214"/>
      <c r="AI22" s="420">
        <f>SUM(M22:AG22)</f>
        <v>0</v>
      </c>
      <c r="AJ22" s="421"/>
      <c r="AK22" s="421"/>
      <c r="AL22" s="415">
        <f>AI22+'Week 2'!AI21+'Week 3'!AI21+'Week 4'!AI21+'Week 5'!AI21+'Week 6'!AI21+'Week 7'!AI21+'Week 8'!AI21+'Week 9'!AI21+'Week 10'!AI21+'Week 11'!AI21+'Week 12'!AI21</f>
        <v>0</v>
      </c>
      <c r="AM22" s="416"/>
      <c r="AN22" s="417"/>
      <c r="AW22" s="224" t="str">
        <f t="shared" si="0"/>
        <v>BAD</v>
      </c>
      <c r="AX22" s="224" t="str">
        <f t="shared" si="1"/>
        <v>good</v>
      </c>
      <c r="AY22" s="224" t="str">
        <f t="shared" si="2"/>
        <v>good</v>
      </c>
      <c r="AZ22" s="224"/>
      <c r="BC22" s="224"/>
    </row>
    <row r="23" spans="1:55" s="11" customFormat="1" ht="13.5" customHeight="1">
      <c r="A23" s="4"/>
      <c r="B23" s="125" t="s">
        <v>42</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47"/>
      <c r="AM23" s="248"/>
      <c r="AN23" s="249"/>
      <c r="AW23" s="224"/>
      <c r="AX23" s="224"/>
      <c r="AY23" s="224"/>
      <c r="AZ23" s="224"/>
      <c r="BC23" s="224"/>
    </row>
    <row r="24" spans="1:55" s="11" customFormat="1" ht="17.25" customHeight="1">
      <c r="A24" s="4"/>
      <c r="B24" s="87"/>
      <c r="C24" s="350" t="s">
        <v>1</v>
      </c>
      <c r="D24" s="351"/>
      <c r="E24" s="351"/>
      <c r="F24" s="351"/>
      <c r="G24" s="352"/>
      <c r="H24" s="379"/>
      <c r="I24" s="380"/>
      <c r="J24" s="380"/>
      <c r="K24" s="380"/>
      <c r="L24" s="381"/>
      <c r="M24" s="375"/>
      <c r="N24" s="375"/>
      <c r="O24" s="375"/>
      <c r="P24" s="369"/>
      <c r="Q24" s="369"/>
      <c r="R24" s="369"/>
      <c r="S24" s="369"/>
      <c r="T24" s="369"/>
      <c r="U24" s="369"/>
      <c r="V24" s="369"/>
      <c r="W24" s="369"/>
      <c r="X24" s="369"/>
      <c r="Y24" s="369"/>
      <c r="Z24" s="369"/>
      <c r="AA24" s="369"/>
      <c r="AB24" s="369"/>
      <c r="AC24" s="369"/>
      <c r="AD24" s="369"/>
      <c r="AE24" s="369"/>
      <c r="AF24" s="369"/>
      <c r="AG24" s="369"/>
      <c r="AH24" s="215"/>
      <c r="AI24" s="507">
        <f>SUM(M24:AG24)</f>
        <v>0</v>
      </c>
      <c r="AJ24" s="353"/>
      <c r="AK24" s="353"/>
      <c r="AL24" s="415">
        <f>AI24+'Week 2'!AI23+'Week 3'!AI23+'Week 4'!AI23+'Week 5'!AI23+'Week 6'!AI23+'Week 7'!AI23+'Week 8'!AI23+'Week 9'!AI23+'Week 10'!AI23+'Week 11'!AI23+'Week 12'!AI23+'Week 13'!AI23</f>
        <v>0</v>
      </c>
      <c r="AM24" s="416"/>
      <c r="AN24" s="417"/>
      <c r="AW24" s="224" t="str">
        <f t="shared" si="0"/>
        <v>BAD</v>
      </c>
      <c r="AX24" s="224" t="str">
        <f t="shared" si="1"/>
        <v>good</v>
      </c>
      <c r="AY24" s="224" t="str">
        <f t="shared" si="2"/>
        <v>good</v>
      </c>
      <c r="AZ24" s="224"/>
      <c r="BC24" s="224"/>
    </row>
    <row r="25" spans="1:55" s="11" customFormat="1" ht="17.25" customHeight="1">
      <c r="A25" s="87"/>
      <c r="B25" s="87"/>
      <c r="C25" s="350" t="s">
        <v>129</v>
      </c>
      <c r="D25" s="351"/>
      <c r="E25" s="351"/>
      <c r="F25" s="351"/>
      <c r="G25" s="352"/>
      <c r="H25" s="379"/>
      <c r="I25" s="380"/>
      <c r="J25" s="380"/>
      <c r="K25" s="380"/>
      <c r="L25" s="381"/>
      <c r="M25" s="594"/>
      <c r="N25" s="595"/>
      <c r="O25" s="596"/>
      <c r="P25" s="383"/>
      <c r="Q25" s="384"/>
      <c r="R25" s="385"/>
      <c r="S25" s="383"/>
      <c r="T25" s="384"/>
      <c r="U25" s="385"/>
      <c r="V25" s="383"/>
      <c r="W25" s="384"/>
      <c r="X25" s="385"/>
      <c r="Y25" s="383"/>
      <c r="Z25" s="384"/>
      <c r="AA25" s="385"/>
      <c r="AB25" s="383"/>
      <c r="AC25" s="384"/>
      <c r="AD25" s="385"/>
      <c r="AE25" s="383"/>
      <c r="AF25" s="384"/>
      <c r="AG25" s="385"/>
      <c r="AH25" s="215"/>
      <c r="AI25" s="507">
        <f>SUM(M25:AG25)</f>
        <v>0</v>
      </c>
      <c r="AJ25" s="353"/>
      <c r="AK25" s="353"/>
      <c r="AL25" s="415">
        <f>AI25+'Week 2'!AI24+'Week 3'!AI24+'Week 4'!AI24+'Week 5'!AI24+'Week 6'!AI24+'Week 7'!AI24+'Week 8'!AI24+'Week 9'!AI24+'Week 10'!AI24+'Week 11'!AI24+'Week 12'!AI24+'Week 13'!AI24</f>
        <v>0</v>
      </c>
      <c r="AM25" s="416"/>
      <c r="AN25" s="417"/>
      <c r="AW25" s="224"/>
      <c r="AX25" s="224"/>
      <c r="AY25" s="224"/>
      <c r="AZ25" s="224"/>
      <c r="BC25" s="224"/>
    </row>
    <row r="26" spans="1:55" s="11" customFormat="1" ht="17.25" customHeight="1">
      <c r="A26" s="87"/>
      <c r="B26" s="4"/>
      <c r="C26" s="350" t="s">
        <v>2</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369"/>
      <c r="AH26" s="215"/>
      <c r="AI26" s="507">
        <f>SUM(M26:AG26)</f>
        <v>0</v>
      </c>
      <c r="AJ26" s="353"/>
      <c r="AK26" s="353"/>
      <c r="AL26" s="415">
        <f>AI26+'Week 2'!AI25+'Week 3'!AI25+'Week 4'!AI25+'Week 5'!AI25+'Week 6'!AI25+'Week 7'!AI25+'Week 8'!AI25+'Week 9'!AI25+'Week 10'!AI25+'Week 11'!AI25+'Week 12'!AI25+'Week 13'!AI25</f>
        <v>0</v>
      </c>
      <c r="AM26" s="416"/>
      <c r="AN26" s="417"/>
      <c r="AW26" s="224" t="str">
        <f t="shared" si="0"/>
        <v>BAD</v>
      </c>
      <c r="AX26" s="224" t="str">
        <f t="shared" si="1"/>
        <v>good</v>
      </c>
      <c r="AY26" s="224" t="str">
        <f t="shared" si="2"/>
        <v>good</v>
      </c>
      <c r="AZ26" s="224"/>
      <c r="BC26" s="224"/>
    </row>
    <row r="27" spans="1:55" s="11" customFormat="1" ht="17.25" customHeight="1">
      <c r="A27" s="4"/>
      <c r="B27" s="5"/>
      <c r="C27" s="350" t="s">
        <v>98</v>
      </c>
      <c r="D27" s="351"/>
      <c r="E27" s="351"/>
      <c r="F27" s="351"/>
      <c r="G27" s="352"/>
      <c r="H27" s="379"/>
      <c r="I27" s="380"/>
      <c r="J27" s="380"/>
      <c r="K27" s="380"/>
      <c r="L27" s="381"/>
      <c r="M27" s="369"/>
      <c r="N27" s="369"/>
      <c r="O27" s="369"/>
      <c r="P27" s="369"/>
      <c r="Q27" s="369"/>
      <c r="R27" s="369"/>
      <c r="S27" s="369"/>
      <c r="T27" s="369"/>
      <c r="U27" s="369"/>
      <c r="V27" s="369"/>
      <c r="W27" s="369"/>
      <c r="X27" s="369"/>
      <c r="Y27" s="369"/>
      <c r="Z27" s="369"/>
      <c r="AA27" s="369"/>
      <c r="AB27" s="369"/>
      <c r="AC27" s="369"/>
      <c r="AD27" s="369"/>
      <c r="AE27" s="369"/>
      <c r="AF27" s="369"/>
      <c r="AG27" s="369"/>
      <c r="AH27" s="250"/>
      <c r="AI27" s="420">
        <f>SUM(M27:AG27)</f>
        <v>0</v>
      </c>
      <c r="AJ27" s="421"/>
      <c r="AK27" s="421"/>
      <c r="AL27" s="415">
        <f>AI27+'Week 2'!AI26+'Week 3'!AI26+'Week 4'!AI26+'Week 5'!AI26+'Week 6'!AI26+'Week 7'!AI26+'Week 8'!AI26+'Week 9'!AI26+'Week 10'!AI26+'Week 11'!AI26+'Week 12'!AI26+'Week 13'!AI26</f>
        <v>0</v>
      </c>
      <c r="AM27" s="416"/>
      <c r="AN27" s="417"/>
      <c r="AW27" s="224" t="str">
        <f t="shared" si="0"/>
        <v>BAD</v>
      </c>
      <c r="AX27" s="224" t="str">
        <f t="shared" si="1"/>
        <v>good</v>
      </c>
      <c r="AY27" s="224" t="str">
        <f t="shared" si="2"/>
        <v>good</v>
      </c>
      <c r="AZ27" s="224"/>
      <c r="BC27" s="224"/>
    </row>
    <row r="28" spans="1:55" s="11" customFormat="1" ht="13.5" customHeight="1">
      <c r="A28" s="112" t="s">
        <v>101</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247"/>
      <c r="AM28" s="248"/>
      <c r="AN28" s="249"/>
      <c r="AW28" s="224"/>
      <c r="AX28" s="224"/>
      <c r="AY28" s="224"/>
      <c r="AZ28" s="224"/>
      <c r="BC28" s="224"/>
    </row>
    <row r="29" spans="1:55" s="11" customFormat="1" ht="17.25" customHeight="1">
      <c r="A29" s="113"/>
      <c r="B29" s="580" t="s">
        <v>6</v>
      </c>
      <c r="C29" s="581"/>
      <c r="D29" s="581"/>
      <c r="E29" s="581"/>
      <c r="F29" s="581"/>
      <c r="G29" s="582"/>
      <c r="H29" s="379"/>
      <c r="I29" s="380"/>
      <c r="J29" s="380"/>
      <c r="K29" s="380"/>
      <c r="L29" s="381"/>
      <c r="M29" s="369"/>
      <c r="N29" s="369"/>
      <c r="O29" s="369"/>
      <c r="P29" s="369"/>
      <c r="Q29" s="369"/>
      <c r="R29" s="369"/>
      <c r="S29" s="369"/>
      <c r="T29" s="369"/>
      <c r="U29" s="369"/>
      <c r="V29" s="369"/>
      <c r="W29" s="369"/>
      <c r="X29" s="369"/>
      <c r="Y29" s="369"/>
      <c r="Z29" s="369"/>
      <c r="AA29" s="369"/>
      <c r="AB29" s="369"/>
      <c r="AC29" s="369"/>
      <c r="AD29" s="369"/>
      <c r="AE29" s="369"/>
      <c r="AF29" s="369"/>
      <c r="AG29" s="369"/>
      <c r="AH29" s="215"/>
      <c r="AI29" s="420">
        <f>SUM(M29:AG29)</f>
        <v>0</v>
      </c>
      <c r="AJ29" s="421"/>
      <c r="AK29" s="421"/>
      <c r="AL29" s="415">
        <f>AI29+'Week 2'!AI28+'Week 3'!AI28+'Week 4'!AI28+'Week 5'!AI28+'Week 6'!AI28+'Week 7'!AI28+'Week 8'!AI28+'Week 9'!AI28+'Week 10'!AI28+'Week 11'!AI28+'Week 12'!AI28+'Week 13'!AI28</f>
        <v>0</v>
      </c>
      <c r="AM29" s="416"/>
      <c r="AN29" s="417"/>
      <c r="AP29" s="11" t="s">
        <v>67</v>
      </c>
      <c r="AW29" s="224" t="str">
        <f t="shared" si="0"/>
        <v>BAD</v>
      </c>
      <c r="AX29" s="224" t="str">
        <f t="shared" si="1"/>
        <v>good</v>
      </c>
      <c r="AY29" s="224" t="str">
        <f t="shared" si="2"/>
        <v>good</v>
      </c>
      <c r="AZ29" s="224"/>
      <c r="BC29" s="224"/>
    </row>
    <row r="30" spans="1:55" s="11" customFormat="1" ht="17.25" customHeight="1">
      <c r="A30" s="87"/>
      <c r="B30" s="350" t="s">
        <v>36</v>
      </c>
      <c r="C30" s="351"/>
      <c r="D30" s="351"/>
      <c r="E30" s="351"/>
      <c r="F30" s="351"/>
      <c r="G30" s="352"/>
      <c r="H30" s="380"/>
      <c r="I30" s="380"/>
      <c r="J30" s="380"/>
      <c r="K30" s="380"/>
      <c r="L30" s="381"/>
      <c r="M30" s="409"/>
      <c r="N30" s="409"/>
      <c r="O30" s="409"/>
      <c r="P30" s="409"/>
      <c r="Q30" s="409"/>
      <c r="R30" s="409"/>
      <c r="S30" s="409"/>
      <c r="T30" s="409"/>
      <c r="U30" s="409"/>
      <c r="V30" s="409"/>
      <c r="W30" s="409"/>
      <c r="X30" s="409"/>
      <c r="Y30" s="409"/>
      <c r="Z30" s="409"/>
      <c r="AA30" s="409"/>
      <c r="AB30" s="409"/>
      <c r="AC30" s="409"/>
      <c r="AD30" s="409"/>
      <c r="AE30" s="409"/>
      <c r="AF30" s="409"/>
      <c r="AG30" s="409"/>
      <c r="AH30" s="216"/>
      <c r="AI30" s="420">
        <f>SUM(M30:AG30)</f>
        <v>0</v>
      </c>
      <c r="AJ30" s="421"/>
      <c r="AK30" s="421"/>
      <c r="AL30" s="415">
        <f>AI30+'Week 2'!AI29+'Week 3'!AI29+'Week 4'!AI29+'Week 5'!AI29+'Week 6'!AI29+'Week 7'!AI29+'Week 8'!AI29+'Week 9'!AI29+'Week 10'!AI29+'Week 11'!AI29+'Week 12'!AI29+'Week 13'!AI29</f>
        <v>0</v>
      </c>
      <c r="AM30" s="416"/>
      <c r="AN30" s="417"/>
      <c r="AW30" s="224" t="str">
        <f t="shared" si="0"/>
        <v>BAD</v>
      </c>
      <c r="AX30" s="224" t="str">
        <f t="shared" si="1"/>
        <v>good</v>
      </c>
      <c r="AY30" s="224" t="str">
        <f t="shared" si="2"/>
        <v>good</v>
      </c>
      <c r="AZ30" s="224"/>
      <c r="BC30" s="224"/>
    </row>
    <row r="31" spans="1:55" s="11" customFormat="1" ht="17.25" customHeight="1">
      <c r="A31" s="4"/>
      <c r="B31" s="386" t="s">
        <v>97</v>
      </c>
      <c r="C31" s="387"/>
      <c r="D31" s="387"/>
      <c r="E31" s="387"/>
      <c r="F31" s="387"/>
      <c r="G31" s="387"/>
      <c r="H31" s="379"/>
      <c r="I31" s="380"/>
      <c r="J31" s="380"/>
      <c r="K31" s="380"/>
      <c r="L31" s="381"/>
      <c r="M31" s="369"/>
      <c r="N31" s="369"/>
      <c r="O31" s="369"/>
      <c r="P31" s="369"/>
      <c r="Q31" s="369"/>
      <c r="R31" s="369"/>
      <c r="S31" s="369"/>
      <c r="T31" s="369"/>
      <c r="U31" s="369"/>
      <c r="V31" s="369"/>
      <c r="W31" s="369"/>
      <c r="X31" s="369"/>
      <c r="Y31" s="369"/>
      <c r="Z31" s="369"/>
      <c r="AA31" s="369"/>
      <c r="AB31" s="369"/>
      <c r="AC31" s="369"/>
      <c r="AD31" s="369"/>
      <c r="AE31" s="369"/>
      <c r="AF31" s="369"/>
      <c r="AG31" s="369"/>
      <c r="AH31" s="214"/>
      <c r="AI31" s="420">
        <f>SUM(M31:AG31)</f>
        <v>0</v>
      </c>
      <c r="AJ31" s="421"/>
      <c r="AK31" s="421"/>
      <c r="AL31" s="415">
        <f>AI31+'Week 2'!AI30+'Week 3'!AI30+'Week 4'!AI30+'Week 5'!AI30+'Week 6'!AI30+'Week 7'!AI30+'Week 8'!AI30+'Week 9'!AI30+'Week 10'!AI30+'Week 11'!AI30+'Week 12'!AI30+'Week 13'!AI30</f>
        <v>0</v>
      </c>
      <c r="AM31" s="416"/>
      <c r="AN31" s="417"/>
      <c r="AW31" s="224" t="str">
        <f t="shared" si="0"/>
        <v>BAD</v>
      </c>
      <c r="AX31" s="224" t="str">
        <f t="shared" si="1"/>
        <v>good</v>
      </c>
      <c r="AY31" s="224" t="str">
        <f t="shared" si="2"/>
        <v>good</v>
      </c>
      <c r="AZ31" s="224"/>
      <c r="BC31" s="224"/>
    </row>
    <row r="32" spans="1:55" s="11" customFormat="1" ht="17.25" customHeight="1">
      <c r="A32" s="4"/>
      <c r="B32" s="386" t="s">
        <v>113</v>
      </c>
      <c r="C32" s="387"/>
      <c r="D32" s="387"/>
      <c r="E32" s="387"/>
      <c r="F32" s="387"/>
      <c r="G32" s="388"/>
      <c r="H32" s="389"/>
      <c r="I32" s="390"/>
      <c r="J32" s="390"/>
      <c r="K32" s="390"/>
      <c r="L32" s="391"/>
      <c r="M32" s="384"/>
      <c r="N32" s="384"/>
      <c r="O32" s="385"/>
      <c r="P32" s="383"/>
      <c r="Q32" s="384"/>
      <c r="R32" s="385"/>
      <c r="S32" s="370"/>
      <c r="T32" s="371"/>
      <c r="U32" s="372"/>
      <c r="V32" s="383"/>
      <c r="W32" s="384"/>
      <c r="X32" s="385"/>
      <c r="Y32" s="383"/>
      <c r="Z32" s="384"/>
      <c r="AA32" s="385"/>
      <c r="AB32" s="383"/>
      <c r="AC32" s="384"/>
      <c r="AD32" s="385"/>
      <c r="AE32" s="383"/>
      <c r="AF32" s="384"/>
      <c r="AG32" s="385"/>
      <c r="AH32" s="214"/>
      <c r="AI32" s="420">
        <f>SUM(M32:AG32)</f>
        <v>0</v>
      </c>
      <c r="AJ32" s="421"/>
      <c r="AK32" s="421"/>
      <c r="AL32" s="415">
        <f>AI32+'Week 2'!AI31+'Week 3'!AI31+'Week 4'!AI31+'Week 5'!AI31+'Week 6'!AI31+'Week 7'!AI31+'Week 8'!AI31+'Week 9'!AI31+'Week 10'!AI31+'Week 11'!AI31+'Week 12'!AI31+'Week 13'!AI31</f>
        <v>0</v>
      </c>
      <c r="AM32" s="416"/>
      <c r="AN32" s="417"/>
      <c r="AW32" s="224" t="str">
        <f t="shared" si="0"/>
        <v>BAD</v>
      </c>
      <c r="AX32" s="224" t="str">
        <f t="shared" si="1"/>
        <v>good</v>
      </c>
      <c r="AY32" s="224" t="str">
        <f t="shared" si="2"/>
        <v>good</v>
      </c>
      <c r="AZ32" s="224"/>
      <c r="BC32" s="224"/>
    </row>
    <row r="33" spans="1:55" s="11" customFormat="1" ht="17.25" customHeight="1">
      <c r="A33" s="4"/>
      <c r="B33" s="350" t="s">
        <v>43</v>
      </c>
      <c r="C33" s="351"/>
      <c r="D33" s="351"/>
      <c r="E33" s="351"/>
      <c r="F33" s="351"/>
      <c r="G33" s="351"/>
      <c r="H33" s="379"/>
      <c r="I33" s="380"/>
      <c r="J33" s="380"/>
      <c r="K33" s="380"/>
      <c r="L33" s="381"/>
      <c r="M33" s="369"/>
      <c r="N33" s="369"/>
      <c r="O33" s="369"/>
      <c r="P33" s="369"/>
      <c r="Q33" s="369"/>
      <c r="R33" s="369"/>
      <c r="S33" s="369"/>
      <c r="T33" s="369"/>
      <c r="U33" s="369"/>
      <c r="V33" s="369"/>
      <c r="W33" s="369"/>
      <c r="X33" s="369"/>
      <c r="Y33" s="369"/>
      <c r="Z33" s="369"/>
      <c r="AA33" s="369"/>
      <c r="AB33" s="369"/>
      <c r="AC33" s="369"/>
      <c r="AD33" s="369"/>
      <c r="AE33" s="369"/>
      <c r="AF33" s="369"/>
      <c r="AG33" s="369"/>
      <c r="AH33" s="214"/>
      <c r="AI33" s="420">
        <f>SUM(M33:AG33)</f>
        <v>0</v>
      </c>
      <c r="AJ33" s="421"/>
      <c r="AK33" s="421"/>
      <c r="AL33" s="415">
        <f>AI33+'Week 2'!AI32+'Week 3'!AI32+'Week 4'!AI32+'Week 5'!AI32+'Week 6'!AI32+'Week 7'!AI32+'Week 8'!AI32+'Week 9'!AI32+'Week 10'!AI32+'Week 11'!AI32+'Week 12'!AI32+'Week 13'!AI32</f>
        <v>0</v>
      </c>
      <c r="AM33" s="416"/>
      <c r="AN33" s="417"/>
      <c r="AW33" s="224" t="str">
        <f t="shared" si="0"/>
        <v>BAD</v>
      </c>
      <c r="AX33" s="224" t="str">
        <f t="shared" si="1"/>
        <v>good</v>
      </c>
      <c r="AY33" s="224" t="str">
        <f t="shared" si="2"/>
        <v>good</v>
      </c>
      <c r="AZ33" s="224"/>
      <c r="BC33" s="224"/>
    </row>
    <row r="34" spans="1:55" s="11" customFormat="1" ht="17.25" customHeight="1" hidden="1">
      <c r="A34" s="108"/>
      <c r="B34" s="350" t="s">
        <v>130</v>
      </c>
      <c r="C34" s="351"/>
      <c r="D34" s="351"/>
      <c r="E34" s="351"/>
      <c r="F34" s="351"/>
      <c r="G34" s="351"/>
      <c r="H34" s="351"/>
      <c r="I34" s="351"/>
      <c r="J34" s="351"/>
      <c r="K34" s="351"/>
      <c r="L34" s="352"/>
      <c r="M34" s="383">
        <v>1</v>
      </c>
      <c r="N34" s="384"/>
      <c r="O34" s="385"/>
      <c r="P34" s="383">
        <v>1</v>
      </c>
      <c r="Q34" s="384"/>
      <c r="R34" s="385"/>
      <c r="S34" s="383">
        <v>1</v>
      </c>
      <c r="T34" s="384"/>
      <c r="U34" s="385"/>
      <c r="V34" s="383">
        <v>1</v>
      </c>
      <c r="W34" s="384"/>
      <c r="X34" s="385"/>
      <c r="Y34" s="383">
        <v>1</v>
      </c>
      <c r="Z34" s="384"/>
      <c r="AA34" s="385"/>
      <c r="AB34" s="383">
        <v>1</v>
      </c>
      <c r="AC34" s="384"/>
      <c r="AD34" s="385"/>
      <c r="AE34" s="383">
        <v>1</v>
      </c>
      <c r="AF34" s="384"/>
      <c r="AG34" s="534"/>
      <c r="AH34" s="243"/>
      <c r="AI34" s="418"/>
      <c r="AJ34" s="418"/>
      <c r="AK34" s="418"/>
      <c r="AL34" s="418"/>
      <c r="AM34" s="418"/>
      <c r="AN34" s="419"/>
      <c r="AW34" s="224"/>
      <c r="AX34" s="224"/>
      <c r="AY34" s="224"/>
      <c r="AZ34" s="224"/>
      <c r="BC34" s="224"/>
    </row>
    <row r="35" spans="1:55" s="11" customFormat="1" ht="13.5" customHeight="1">
      <c r="A35" s="102" t="s">
        <v>112</v>
      </c>
      <c r="B35" s="84"/>
      <c r="C35" s="84"/>
      <c r="D35" s="84"/>
      <c r="E35" s="84"/>
      <c r="F35" s="84"/>
      <c r="G35" s="84"/>
      <c r="H35" s="84"/>
      <c r="I35" s="84"/>
      <c r="J35" s="84"/>
      <c r="K35" s="84"/>
      <c r="L35" s="84"/>
      <c r="M35" s="84"/>
      <c r="N35" s="103"/>
      <c r="O35" s="84"/>
      <c r="P35" s="84"/>
      <c r="Q35" s="84"/>
      <c r="R35" s="84"/>
      <c r="S35" s="84"/>
      <c r="T35" s="84"/>
      <c r="U35" s="84"/>
      <c r="V35" s="84"/>
      <c r="W35" s="84"/>
      <c r="X35" s="84"/>
      <c r="Y35" s="84"/>
      <c r="Z35" s="84"/>
      <c r="AA35" s="84"/>
      <c r="AB35" s="84"/>
      <c r="AC35" s="84"/>
      <c r="AD35" s="84"/>
      <c r="AE35" s="84"/>
      <c r="AF35" s="84"/>
      <c r="AG35" s="84"/>
      <c r="AH35" s="71"/>
      <c r="AI35" s="573"/>
      <c r="AJ35" s="573"/>
      <c r="AK35" s="573"/>
      <c r="AL35" s="573"/>
      <c r="AM35" s="573"/>
      <c r="AN35" s="574"/>
      <c r="AO35" s="72"/>
      <c r="AP35" s="73" t="s">
        <v>60</v>
      </c>
      <c r="AQ35" s="73" t="s">
        <v>61</v>
      </c>
      <c r="AR35" s="73" t="s">
        <v>62</v>
      </c>
      <c r="AS35" s="73" t="s">
        <v>63</v>
      </c>
      <c r="AT35" s="73" t="s">
        <v>64</v>
      </c>
      <c r="AU35" s="73" t="s">
        <v>65</v>
      </c>
      <c r="AV35" s="73" t="s">
        <v>66</v>
      </c>
      <c r="AW35" s="224"/>
      <c r="AX35" s="224"/>
      <c r="AY35" s="224"/>
      <c r="AZ35" s="224"/>
      <c r="BC35" s="224"/>
    </row>
    <row r="36" spans="1:55" s="11" customFormat="1"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74"/>
      <c r="AI36" s="253"/>
      <c r="AJ36" s="254"/>
      <c r="AK36" s="254"/>
      <c r="AL36" s="254"/>
      <c r="AM36" s="254"/>
      <c r="AN36" s="255"/>
      <c r="AO36" s="72"/>
      <c r="AP36" s="75" t="e">
        <f>SUM(#REF!)</f>
        <v>#REF!</v>
      </c>
      <c r="AQ36" s="75" t="e">
        <f>SUM(#REF!)</f>
        <v>#REF!</v>
      </c>
      <c r="AR36" s="75" t="e">
        <f>SUM(#REF!)</f>
        <v>#REF!</v>
      </c>
      <c r="AS36" s="75" t="e">
        <f>SUM(#REF!)</f>
        <v>#REF!</v>
      </c>
      <c r="AT36" s="75" t="e">
        <f>SUM(#REF!)</f>
        <v>#REF!</v>
      </c>
      <c r="AU36" s="75" t="e">
        <f>SUM(#REF!)</f>
        <v>#REF!</v>
      </c>
      <c r="AV36" s="75" t="e">
        <f>SUM(#REF!)</f>
        <v>#REF!</v>
      </c>
      <c r="AX36" s="224"/>
      <c r="AZ36" s="224"/>
      <c r="BC36" s="224"/>
    </row>
    <row r="37" spans="1:55" s="11" customFormat="1" ht="15" customHeight="1" hidden="1">
      <c r="A37" s="4"/>
      <c r="B37" s="106"/>
      <c r="C37" s="479"/>
      <c r="D37" s="480"/>
      <c r="E37" s="480"/>
      <c r="F37" s="480"/>
      <c r="G37" s="480"/>
      <c r="H37" s="480"/>
      <c r="I37" s="480"/>
      <c r="J37" s="480"/>
      <c r="K37" s="480"/>
      <c r="L37" s="481"/>
      <c r="M37" s="404"/>
      <c r="N37" s="405"/>
      <c r="O37" s="406"/>
      <c r="P37" s="404"/>
      <c r="Q37" s="405"/>
      <c r="R37" s="406"/>
      <c r="S37" s="404"/>
      <c r="T37" s="405"/>
      <c r="U37" s="406"/>
      <c r="V37" s="404"/>
      <c r="W37" s="405"/>
      <c r="X37" s="406"/>
      <c r="Y37" s="404"/>
      <c r="Z37" s="405"/>
      <c r="AA37" s="406"/>
      <c r="AB37" s="404"/>
      <c r="AC37" s="405"/>
      <c r="AD37" s="406"/>
      <c r="AE37" s="404"/>
      <c r="AF37" s="405"/>
      <c r="AG37" s="406"/>
      <c r="AH37" s="1"/>
      <c r="AI37" s="253"/>
      <c r="AJ37" s="253"/>
      <c r="AK37" s="253"/>
      <c r="AL37" s="256"/>
      <c r="AM37" s="256"/>
      <c r="AN37" s="98"/>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c r="AX37" s="224"/>
      <c r="AZ37" s="224"/>
      <c r="BC37" s="224"/>
    </row>
    <row r="38" spans="1:55" s="11" customFormat="1" ht="15.75" customHeight="1" hidden="1">
      <c r="A38" s="4"/>
      <c r="B38" s="107"/>
      <c r="C38" s="376"/>
      <c r="D38" s="377"/>
      <c r="E38" s="377"/>
      <c r="F38" s="377"/>
      <c r="G38" s="377"/>
      <c r="H38" s="377"/>
      <c r="I38" s="377"/>
      <c r="J38" s="377"/>
      <c r="K38" s="377"/>
      <c r="L38" s="378"/>
      <c r="M38" s="404"/>
      <c r="N38" s="405"/>
      <c r="O38" s="406"/>
      <c r="P38" s="404"/>
      <c r="Q38" s="405"/>
      <c r="R38" s="406"/>
      <c r="S38" s="404"/>
      <c r="T38" s="405"/>
      <c r="U38" s="406"/>
      <c r="V38" s="404"/>
      <c r="W38" s="405"/>
      <c r="X38" s="406"/>
      <c r="Y38" s="404"/>
      <c r="Z38" s="405"/>
      <c r="AA38" s="406"/>
      <c r="AB38" s="404"/>
      <c r="AC38" s="405"/>
      <c r="AD38" s="406"/>
      <c r="AE38" s="404"/>
      <c r="AF38" s="405"/>
      <c r="AG38" s="406"/>
      <c r="AH38" s="1"/>
      <c r="AI38" s="253"/>
      <c r="AJ38" s="253"/>
      <c r="AK38" s="253"/>
      <c r="AL38" s="256"/>
      <c r="AM38" s="256"/>
      <c r="AN38" s="98"/>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c r="AX38" s="224"/>
      <c r="AZ38" s="224"/>
      <c r="BC38" s="224"/>
    </row>
    <row r="39" spans="1:55" s="11" customFormat="1" ht="17.25" customHeight="1">
      <c r="A39" s="108"/>
      <c r="B39" s="472" t="s">
        <v>8</v>
      </c>
      <c r="C39" s="473"/>
      <c r="D39" s="473"/>
      <c r="E39" s="473"/>
      <c r="F39" s="473"/>
      <c r="G39" s="473"/>
      <c r="H39" s="473"/>
      <c r="I39" s="473"/>
      <c r="J39" s="473"/>
      <c r="K39" s="473"/>
      <c r="L39" s="474"/>
      <c r="M39" s="576"/>
      <c r="N39" s="577"/>
      <c r="O39" s="578"/>
      <c r="P39" s="370"/>
      <c r="Q39" s="371"/>
      <c r="R39" s="372"/>
      <c r="S39" s="370"/>
      <c r="T39" s="371"/>
      <c r="U39" s="372"/>
      <c r="V39" s="370"/>
      <c r="W39" s="371"/>
      <c r="X39" s="372"/>
      <c r="Y39" s="370"/>
      <c r="Z39" s="371"/>
      <c r="AA39" s="372"/>
      <c r="AB39" s="370"/>
      <c r="AC39" s="371"/>
      <c r="AD39" s="372"/>
      <c r="AE39" s="370"/>
      <c r="AF39" s="371"/>
      <c r="AG39" s="372"/>
      <c r="AH39" s="215"/>
      <c r="AI39" s="575">
        <f>SUM(M39:AG39)</f>
        <v>0</v>
      </c>
      <c r="AJ39" s="529"/>
      <c r="AK39" s="530"/>
      <c r="AL39" s="415">
        <f>AI39+'Week 2'!AI39+'Week 3'!AI39+'Week 4'!AI39+'Week 5'!AI39+'Week 6'!AI39+'Week 7'!AI39+'Week 8'!AI39+'Week 9'!AI39+'Week 10'!AI39+'Week 11'!AI39+'Week 12'!AI39+'Week 13'!AI39</f>
        <v>0</v>
      </c>
      <c r="AM39" s="416"/>
      <c r="AN39" s="417"/>
      <c r="AX39" s="224"/>
      <c r="AZ39" s="224"/>
      <c r="BC39" s="224"/>
    </row>
    <row r="40" spans="1:55" s="11" customFormat="1" ht="17.25" customHeight="1">
      <c r="A40" s="245"/>
      <c r="B40" s="350" t="s">
        <v>209</v>
      </c>
      <c r="C40" s="351"/>
      <c r="D40" s="351"/>
      <c r="E40" s="351"/>
      <c r="F40" s="351"/>
      <c r="G40" s="351"/>
      <c r="H40" s="351"/>
      <c r="I40" s="351"/>
      <c r="J40" s="351"/>
      <c r="K40" s="351"/>
      <c r="L40" s="352"/>
      <c r="M40" s="576"/>
      <c r="N40" s="577"/>
      <c r="O40" s="578"/>
      <c r="P40" s="370"/>
      <c r="Q40" s="371"/>
      <c r="R40" s="372"/>
      <c r="S40" s="370"/>
      <c r="T40" s="371"/>
      <c r="U40" s="372"/>
      <c r="V40" s="370"/>
      <c r="W40" s="371"/>
      <c r="X40" s="372"/>
      <c r="Y40" s="370"/>
      <c r="Z40" s="371"/>
      <c r="AA40" s="372"/>
      <c r="AB40" s="370"/>
      <c r="AC40" s="371"/>
      <c r="AD40" s="372"/>
      <c r="AE40" s="370"/>
      <c r="AF40" s="371"/>
      <c r="AG40" s="372"/>
      <c r="AH40" s="215"/>
      <c r="AI40" s="597">
        <f>SUM(M40:AG40)</f>
        <v>0</v>
      </c>
      <c r="AJ40" s="598"/>
      <c r="AK40" s="599"/>
      <c r="AL40" s="415">
        <f>AI40+'Week 2'!AI40+'Week 3'!AI40+'Week 4'!AI40+'Week 5'!AI40+'Week 6'!AI40+'Week 7'!AI40+'Week 8'!AI40+'Week 9'!AI40+'Week 10'!AI40+'Week 11'!AI40+'Week 12'!AI40+'Week 13'!AI40</f>
        <v>0</v>
      </c>
      <c r="AM40" s="416"/>
      <c r="AN40" s="417"/>
      <c r="AX40" s="224"/>
      <c r="AZ40" s="224"/>
      <c r="BC40" s="224"/>
    </row>
    <row r="41" spans="1:55" s="11" customFormat="1" ht="14.25" customHeight="1">
      <c r="A41" s="600" t="s">
        <v>131</v>
      </c>
      <c r="B41" s="601"/>
      <c r="C41" s="601"/>
      <c r="D41" s="601"/>
      <c r="E41" s="601"/>
      <c r="F41" s="601"/>
      <c r="G41" s="601"/>
      <c r="H41" s="601"/>
      <c r="I41" s="601"/>
      <c r="J41" s="601"/>
      <c r="K41" s="601"/>
      <c r="L41" s="602"/>
      <c r="M41" s="364">
        <f>IF(M40=0,M39,IF(M40&gt;0,M39-M40,IF(M40&lt;0,M39+M40,"")))</f>
        <v>0</v>
      </c>
      <c r="N41" s="603"/>
      <c r="O41" s="604"/>
      <c r="P41" s="364">
        <f>IF(P40=0,P39,IF(P40&gt;0,P39-P40,IF(P40&lt;0,P39+P40,"")))</f>
        <v>0</v>
      </c>
      <c r="Q41" s="603"/>
      <c r="R41" s="604"/>
      <c r="S41" s="364">
        <f>IF(S40=0,S39,IF(S40&gt;0,S39-S40,IF(S40&lt;0,S39+S40,"")))</f>
        <v>0</v>
      </c>
      <c r="T41" s="603"/>
      <c r="U41" s="604"/>
      <c r="V41" s="364">
        <f>IF(V40=0,V39,IF(V40&gt;0,V39-V40,IF(V40&lt;0,V39+V40,"")))</f>
        <v>0</v>
      </c>
      <c r="W41" s="603"/>
      <c r="X41" s="604"/>
      <c r="Y41" s="364">
        <f>IF(Y40=0,Y39,IF(Y40&gt;0,Y39-Y40,IF(Y40&lt;0,Y39+Y40,"")))</f>
        <v>0</v>
      </c>
      <c r="Z41" s="603"/>
      <c r="AA41" s="604"/>
      <c r="AB41" s="364">
        <f>IF(AB40=0,AB39,IF(AB40&gt;0,AB39-AB40,IF(AB40&lt;0,AB39+AB40,"")))</f>
        <v>0</v>
      </c>
      <c r="AC41" s="603"/>
      <c r="AD41" s="604"/>
      <c r="AE41" s="364">
        <f>IF(AE40=0,AE39,IF(AE40&gt;0,AE39-AE40,IF(AE40&lt;0,AE39+AE40,"")))</f>
        <v>0</v>
      </c>
      <c r="AF41" s="603"/>
      <c r="AG41" s="604"/>
      <c r="AH41" s="215"/>
      <c r="AI41" s="449">
        <f>SUM(M41:AG41)</f>
        <v>0</v>
      </c>
      <c r="AJ41" s="450"/>
      <c r="AK41" s="451"/>
      <c r="AL41" s="446">
        <f>AI41+'Week 2'!AI41+'Week 3'!AI41+'Week 4'!AI41+'Week 5'!AI41+'Week 6'!AI41+'Week 7'!AI41+'Week 8'!AI41+'Week 9'!AI41+'Week 10'!AI41+'Week 11'!AI41+'Week 12'!AI41+'Week 13'!AI41</f>
        <v>0</v>
      </c>
      <c r="AM41" s="447"/>
      <c r="AN41" s="448"/>
      <c r="AX41" s="224"/>
      <c r="AZ41" s="224"/>
      <c r="BC41" s="224"/>
    </row>
    <row r="42" spans="1:55"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456"/>
      <c r="AH42" s="215"/>
      <c r="AI42" s="422"/>
      <c r="AJ42" s="423"/>
      <c r="AK42" s="424"/>
      <c r="AL42" s="99"/>
      <c r="AM42" s="100"/>
      <c r="AN42" s="101"/>
      <c r="AX42" s="224"/>
      <c r="AZ42" s="224"/>
      <c r="BC42" s="224"/>
    </row>
    <row r="43" spans="1:55" s="11" customFormat="1" ht="14.25" customHeight="1">
      <c r="A43" s="209" t="s">
        <v>132</v>
      </c>
      <c r="B43" s="84"/>
      <c r="C43" s="84"/>
      <c r="D43" s="84"/>
      <c r="E43" s="84"/>
      <c r="F43" s="84"/>
      <c r="G43" s="84"/>
      <c r="H43" s="84"/>
      <c r="I43" s="84"/>
      <c r="J43" s="84"/>
      <c r="K43" s="84"/>
      <c r="L43" s="95"/>
      <c r="M43" s="407">
        <f>IF(M34&gt;0,SUM(M20:O33)*M34+M41+M19,SUM(M19:O33)+M41)</f>
        <v>0</v>
      </c>
      <c r="N43" s="407"/>
      <c r="O43" s="407"/>
      <c r="P43" s="407">
        <f>IF(P34&gt;0,SUM(P20:R33)*P34+P41+P19,SUM(P19:R33)+P41)</f>
        <v>0</v>
      </c>
      <c r="Q43" s="407"/>
      <c r="R43" s="407"/>
      <c r="S43" s="407">
        <f>IF(S34&gt;0,SUM(S20:U33)*S34+S41+S19,SUM(S19:U33)+S41)</f>
        <v>0</v>
      </c>
      <c r="T43" s="407"/>
      <c r="U43" s="407"/>
      <c r="V43" s="407">
        <f>IF(V34&gt;0,SUM(V20:X33)*V34+V41+V19,SUM(V19:X33)+V41)</f>
        <v>0</v>
      </c>
      <c r="W43" s="407"/>
      <c r="X43" s="407"/>
      <c r="Y43" s="407">
        <f>IF(Y34&gt;0,SUM(Y20:AA33)*Y34+Y41+Y19,SUM(Y19:AA33)+Y41)</f>
        <v>0</v>
      </c>
      <c r="Z43" s="407"/>
      <c r="AA43" s="407"/>
      <c r="AB43" s="407">
        <f>IF(AB34&gt;0,SUM(AB20:AD33)*AB34+AB41+AB19,SUM(AB19:AD33)+AB41)</f>
        <v>0</v>
      </c>
      <c r="AC43" s="407"/>
      <c r="AD43" s="407"/>
      <c r="AE43" s="407">
        <f>IF(AE34&gt;0,SUM(AE20:AG33)*AE34+AE41+AE19,SUM(AE19:AG33)+AE41)</f>
        <v>0</v>
      </c>
      <c r="AF43" s="407"/>
      <c r="AG43" s="407"/>
      <c r="AH43" s="217"/>
      <c r="AI43" s="567">
        <f>SUM(M43:AG43)</f>
        <v>0</v>
      </c>
      <c r="AJ43" s="407"/>
      <c r="AK43" s="407"/>
      <c r="AL43" s="446">
        <f>AI43+'Week 2'!AI43+'Week 3'!AI43+'Week 4'!AI43+'Week 5'!AI43+'Week 6'!AI43+'Week 7'!AI43+'Week 8'!AI43+'Week 9'!AI43+'Week 10'!AI43+'Week 11'!AI43+'Week 12'!AI43+'Week 13'!AI43</f>
        <v>0</v>
      </c>
      <c r="AM43" s="447"/>
      <c r="AN43" s="448"/>
      <c r="AX43" s="224"/>
      <c r="AZ43" s="224"/>
      <c r="BC43" s="224"/>
    </row>
    <row r="44" spans="1:55" s="11" customFormat="1" ht="12.75" hidden="1">
      <c r="A44" s="476" t="s">
        <v>115</v>
      </c>
      <c r="B44" s="477"/>
      <c r="C44" s="477"/>
      <c r="D44" s="477"/>
      <c r="E44" s="477"/>
      <c r="F44" s="477"/>
      <c r="G44" s="477"/>
      <c r="H44" s="241"/>
      <c r="I44" s="241"/>
      <c r="J44" s="241"/>
      <c r="K44" s="241"/>
      <c r="L44" s="242"/>
      <c r="M44" s="364"/>
      <c r="N44" s="365"/>
      <c r="O44" s="365"/>
      <c r="P44" s="364"/>
      <c r="Q44" s="365"/>
      <c r="R44" s="365"/>
      <c r="S44" s="364"/>
      <c r="T44" s="365"/>
      <c r="U44" s="365"/>
      <c r="V44" s="364"/>
      <c r="W44" s="365"/>
      <c r="X44" s="365"/>
      <c r="Y44" s="364"/>
      <c r="Z44" s="365"/>
      <c r="AA44" s="365"/>
      <c r="AB44" s="364"/>
      <c r="AC44" s="365"/>
      <c r="AD44" s="365"/>
      <c r="AE44" s="364"/>
      <c r="AF44" s="365"/>
      <c r="AG44" s="365"/>
      <c r="AH44" s="9"/>
      <c r="AI44" s="449"/>
      <c r="AJ44" s="450"/>
      <c r="AK44" s="451"/>
      <c r="AL44" s="446"/>
      <c r="AM44" s="447"/>
      <c r="AN44" s="448"/>
      <c r="AX44" s="224"/>
      <c r="AZ44" s="224"/>
      <c r="BC44" s="224"/>
    </row>
    <row r="45" spans="1:55" s="11" customFormat="1" ht="13.5" customHeight="1">
      <c r="A45" s="102" t="s">
        <v>118</v>
      </c>
      <c r="B45" s="84"/>
      <c r="C45" s="84"/>
      <c r="D45" s="84"/>
      <c r="E45" s="84"/>
      <c r="F45" s="84"/>
      <c r="G45" s="84"/>
      <c r="H45" s="84"/>
      <c r="I45" s="84"/>
      <c r="J45" s="84"/>
      <c r="K45" s="84"/>
      <c r="L45" s="84"/>
      <c r="M45" s="5"/>
      <c r="N45" s="5"/>
      <c r="O45" s="5"/>
      <c r="P45" s="5"/>
      <c r="Q45" s="5"/>
      <c r="R45" s="5"/>
      <c r="S45" s="5"/>
      <c r="T45" s="5"/>
      <c r="U45" s="5"/>
      <c r="V45" s="5"/>
      <c r="W45" s="5"/>
      <c r="X45" s="5"/>
      <c r="Y45" s="5"/>
      <c r="Z45" s="5"/>
      <c r="AA45" s="5"/>
      <c r="AB45" s="5"/>
      <c r="AC45" s="5"/>
      <c r="AD45" s="5"/>
      <c r="AE45" s="5"/>
      <c r="AF45" s="5"/>
      <c r="AG45" s="5"/>
      <c r="AH45" s="67"/>
      <c r="AI45" s="5"/>
      <c r="AJ45" s="5"/>
      <c r="AK45" s="5"/>
      <c r="AL45" s="96"/>
      <c r="AM45" s="96"/>
      <c r="AN45" s="97"/>
      <c r="AX45" s="224"/>
      <c r="AZ45" s="224"/>
      <c r="BC45" s="224"/>
    </row>
    <row r="46" spans="1:55" s="11" customFormat="1" ht="17.25" customHeight="1">
      <c r="A46" s="4"/>
      <c r="B46" s="472" t="s">
        <v>57</v>
      </c>
      <c r="C46" s="473"/>
      <c r="D46" s="473"/>
      <c r="E46" s="473"/>
      <c r="F46" s="473"/>
      <c r="G46" s="473"/>
      <c r="H46" s="473"/>
      <c r="I46" s="473"/>
      <c r="J46" s="473"/>
      <c r="K46" s="473"/>
      <c r="L46" s="474"/>
      <c r="M46" s="452">
        <f>SUMIF($H$20:$L$33,"PCard",M$20:M$33)*IF(M34=0,1,M34)</f>
        <v>0</v>
      </c>
      <c r="N46" s="452"/>
      <c r="O46" s="452"/>
      <c r="P46" s="452">
        <f>SUMIF($H$20:$L$33,"PCard",P$20:P$33)*IF(P34=0,1,P34)</f>
        <v>0</v>
      </c>
      <c r="Q46" s="452"/>
      <c r="R46" s="452"/>
      <c r="S46" s="452">
        <f>SUMIF($H$20:$L$33,"PCard",S$20:S$33)*IF(S34=0,1,S34)</f>
        <v>0</v>
      </c>
      <c r="T46" s="452"/>
      <c r="U46" s="452"/>
      <c r="V46" s="452">
        <f>SUMIF($H$20:$L$33,"PCard",V$20:V$33)*IF(V34=0,1,V34)</f>
        <v>0</v>
      </c>
      <c r="W46" s="452"/>
      <c r="X46" s="452"/>
      <c r="Y46" s="452">
        <f>SUMIF($H$20:$L$33,"PCard",Y$20:Y$33)*IF(Y34=0,1,Y34)</f>
        <v>0</v>
      </c>
      <c r="Z46" s="452"/>
      <c r="AA46" s="452"/>
      <c r="AB46" s="452">
        <f>SUMIF($H$20:$L$33,"PCard",AB$20:AB$33)*IF(AB34=0,1,AB34)</f>
        <v>0</v>
      </c>
      <c r="AC46" s="452"/>
      <c r="AD46" s="452"/>
      <c r="AE46" s="452">
        <f>SUMIF($H$20:$L$33,"PCard",AE$20:AE$33)*IF(AE34=0,1,AE34)</f>
        <v>0</v>
      </c>
      <c r="AF46" s="452"/>
      <c r="AG46" s="452"/>
      <c r="AH46" s="215"/>
      <c r="AI46" s="507">
        <f>-SUM(M46:AG46)</f>
        <v>0</v>
      </c>
      <c r="AJ46" s="353"/>
      <c r="AK46" s="353"/>
      <c r="AL46" s="415">
        <f>SUM(AI46:AK46,'Week 2'!AI46:AK46,,'Week 3'!AI46:AK46,'Week 4'!AI46:AK46,'Week 5'!AI46:AK46,'Week 6'!AI46:AK46,'Week 7'!AI46:AK46,'Week 8'!AI46:AK46,'Week 9'!AI46:AK46,'Week 10'!AI46:AK46,'Week 11'!AI46:AK46,'Week 12'!AI46:AK46,'Week 13'!AI46:AK46)</f>
        <v>0</v>
      </c>
      <c r="AM46" s="416"/>
      <c r="AN46" s="417"/>
      <c r="AX46" s="224"/>
      <c r="AZ46" s="224"/>
      <c r="BC46" s="224"/>
    </row>
    <row r="47" spans="1:55" s="11" customFormat="1" ht="17.25" customHeight="1">
      <c r="A47" s="108"/>
      <c r="B47" s="472" t="s">
        <v>109</v>
      </c>
      <c r="C47" s="473"/>
      <c r="D47" s="473"/>
      <c r="E47" s="473"/>
      <c r="F47" s="473"/>
      <c r="G47" s="473"/>
      <c r="H47" s="473"/>
      <c r="I47" s="473"/>
      <c r="J47" s="473"/>
      <c r="K47" s="473"/>
      <c r="L47" s="474"/>
      <c r="M47" s="462">
        <f>SUMIF($H$20:$L$33,"PV",M$20:M$33)*IF(M34=0,1,M34)</f>
        <v>0</v>
      </c>
      <c r="N47" s="463"/>
      <c r="O47" s="464"/>
      <c r="P47" s="462">
        <f>SUMIF($H$20:$L$33,"PV",P$20:P$33)*IF(P34=0,1,P34)</f>
        <v>0</v>
      </c>
      <c r="Q47" s="463"/>
      <c r="R47" s="464"/>
      <c r="S47" s="462">
        <f>SUMIF($H$20:$L$33,"PV",S$20:S$33)*IF(S34=0,1,S34)</f>
        <v>0</v>
      </c>
      <c r="T47" s="463"/>
      <c r="U47" s="464"/>
      <c r="V47" s="462">
        <f>SUMIF($H$20:$L$33,"PV",V$20:V$33)*IF(V34=0,1,V34)</f>
        <v>0</v>
      </c>
      <c r="W47" s="463"/>
      <c r="X47" s="464"/>
      <c r="Y47" s="462">
        <f>SUMIF($H$20:$L$33,"PV",Y$20:Y$33)*IF(Y34=0,1,Y34)</f>
        <v>0</v>
      </c>
      <c r="Z47" s="463"/>
      <c r="AA47" s="464"/>
      <c r="AB47" s="462">
        <f>SUMIF($H$20:$L$33,"PV",AB$20:AB$33)*IF(AB34=0,1,AB34)</f>
        <v>0</v>
      </c>
      <c r="AC47" s="463"/>
      <c r="AD47" s="464"/>
      <c r="AE47" s="462">
        <f>SUMIF($H$20:$L$33,"PV",AE$20:AE$33)*IF(AE34=0,1,AE34)</f>
        <v>0</v>
      </c>
      <c r="AF47" s="463"/>
      <c r="AG47" s="464"/>
      <c r="AH47" s="215"/>
      <c r="AI47" s="507">
        <f>-SUM(M47:AG47)</f>
        <v>0</v>
      </c>
      <c r="AJ47" s="353"/>
      <c r="AK47" s="353"/>
      <c r="AL47" s="415">
        <f>SUM(AI47:AK47,'Week 2'!AI47:AK47,,'Week 3'!AI47:AK47,'Week 4'!AI47:AK47,'Week 5'!AI47:AK47,'Week 6'!AI47:AK47,'Week 7'!AI47:AK47,'Week 8'!AI47:AK47,'Week 9'!AI47:AK47,'Week 10'!AI47:AK47,'Week 11'!AI47:AK47,'Week 12'!AI47:AK47,'Week 13'!AI47:AK47)</f>
        <v>0</v>
      </c>
      <c r="AM47" s="416"/>
      <c r="AN47" s="417"/>
      <c r="AX47" s="224"/>
      <c r="AZ47" s="224"/>
      <c r="BC47" s="224"/>
    </row>
    <row r="48" spans="1:55" s="11" customFormat="1" ht="12.75">
      <c r="A48" s="209" t="s">
        <v>116</v>
      </c>
      <c r="B48" s="84"/>
      <c r="C48" s="84"/>
      <c r="D48" s="84"/>
      <c r="E48" s="84"/>
      <c r="F48" s="84"/>
      <c r="G48" s="84"/>
      <c r="H48" s="84"/>
      <c r="I48" s="84"/>
      <c r="J48" s="84"/>
      <c r="K48" s="84"/>
      <c r="L48" s="84"/>
      <c r="M48" s="453">
        <f>+M43-SUM(M46:O47)</f>
        <v>0</v>
      </c>
      <c r="N48" s="453"/>
      <c r="O48" s="453"/>
      <c r="P48" s="453">
        <f>+P43-SUM(P46:R47)</f>
        <v>0</v>
      </c>
      <c r="Q48" s="453"/>
      <c r="R48" s="453"/>
      <c r="S48" s="453">
        <f>+S43-SUM(S46:U47)</f>
        <v>0</v>
      </c>
      <c r="T48" s="453"/>
      <c r="U48" s="453"/>
      <c r="V48" s="453">
        <f>+V43-SUM(V46:X47)</f>
        <v>0</v>
      </c>
      <c r="W48" s="453"/>
      <c r="X48" s="453"/>
      <c r="Y48" s="453">
        <f>+Y43-SUM(Y46:AA47)</f>
        <v>0</v>
      </c>
      <c r="Z48" s="453"/>
      <c r="AA48" s="453"/>
      <c r="AB48" s="453">
        <f>+AB43-SUM(AB46:AD47)</f>
        <v>0</v>
      </c>
      <c r="AC48" s="453"/>
      <c r="AD48" s="453"/>
      <c r="AE48" s="453">
        <f>+AE43-SUM(AE46:AG47)</f>
        <v>0</v>
      </c>
      <c r="AF48" s="453"/>
      <c r="AG48" s="453"/>
      <c r="AH48" s="218">
        <f>SUM(M48:AG48)</f>
        <v>0</v>
      </c>
      <c r="AI48" s="567">
        <f>+SUM(AI43:AK44)+SUM(AI46:AK47)</f>
        <v>0</v>
      </c>
      <c r="AJ48" s="407"/>
      <c r="AK48" s="407"/>
      <c r="AL48" s="407">
        <f>SUM(AL43:AN47)</f>
        <v>0</v>
      </c>
      <c r="AM48" s="407"/>
      <c r="AN48" s="407"/>
      <c r="AX48" s="224"/>
      <c r="AZ48" s="224"/>
      <c r="BC48" s="224"/>
    </row>
    <row r="49" spans="1:55" s="11" customFormat="1" ht="17.25" customHeight="1">
      <c r="A49" s="114" t="s">
        <v>206</v>
      </c>
      <c r="B49" s="115"/>
      <c r="C49" s="115"/>
      <c r="D49" s="115"/>
      <c r="E49" s="115"/>
      <c r="F49" s="115"/>
      <c r="G49" s="115"/>
      <c r="H49" s="115"/>
      <c r="I49" s="115"/>
      <c r="J49" s="115"/>
      <c r="K49" s="115"/>
      <c r="L49" s="115"/>
      <c r="M49" s="116"/>
      <c r="N49" s="116"/>
      <c r="O49" s="116"/>
      <c r="P49" s="116"/>
      <c r="Q49" s="117"/>
      <c r="R49" s="117"/>
      <c r="S49" s="117"/>
      <c r="T49" s="117"/>
      <c r="U49" s="117"/>
      <c r="V49" s="117"/>
      <c r="W49" s="117"/>
      <c r="X49" s="117"/>
      <c r="Y49" s="117"/>
      <c r="Z49" s="117"/>
      <c r="AA49" s="117"/>
      <c r="AB49" s="117"/>
      <c r="AC49" s="117"/>
      <c r="AD49" s="117"/>
      <c r="AE49" s="117"/>
      <c r="AF49" s="117"/>
      <c r="AG49" s="117"/>
      <c r="AH49" s="117"/>
      <c r="AI49" s="117"/>
      <c r="AJ49" s="117"/>
      <c r="AK49" s="117"/>
      <c r="AL49" s="570"/>
      <c r="AM49" s="571"/>
      <c r="AN49" s="572"/>
      <c r="AX49" s="224"/>
      <c r="AZ49" s="224"/>
      <c r="BC49" s="224"/>
    </row>
    <row r="50" spans="1:55" s="11" customFormat="1" ht="17.25" customHeight="1">
      <c r="A50" s="114" t="s">
        <v>9</v>
      </c>
      <c r="B50" s="115"/>
      <c r="C50" s="115"/>
      <c r="D50" s="115"/>
      <c r="E50" s="115"/>
      <c r="F50" s="115"/>
      <c r="G50" s="115"/>
      <c r="H50" s="115"/>
      <c r="I50" s="115"/>
      <c r="J50" s="115"/>
      <c r="K50" s="115"/>
      <c r="L50" s="115"/>
      <c r="M50" s="210"/>
      <c r="N50" s="210"/>
      <c r="O50" s="210"/>
      <c r="P50" s="210"/>
      <c r="Q50" s="117"/>
      <c r="R50" s="117"/>
      <c r="S50" s="117"/>
      <c r="T50" s="117"/>
      <c r="U50" s="117"/>
      <c r="V50" s="117"/>
      <c r="W50" s="117"/>
      <c r="X50" s="117"/>
      <c r="Y50" s="117"/>
      <c r="Z50" s="117"/>
      <c r="AA50" s="117"/>
      <c r="AB50" s="117"/>
      <c r="AC50" s="117"/>
      <c r="AD50" s="117"/>
      <c r="AE50" s="117"/>
      <c r="AF50" s="117"/>
      <c r="AG50" s="117"/>
      <c r="AH50" s="117"/>
      <c r="AI50" s="117"/>
      <c r="AJ50" s="117"/>
      <c r="AK50" s="117"/>
      <c r="AL50" s="383"/>
      <c r="AM50" s="384"/>
      <c r="AN50" s="385"/>
      <c r="AX50" s="224"/>
      <c r="AZ50" s="224"/>
      <c r="BC50" s="224"/>
    </row>
    <row r="51" spans="1:55" s="11" customFormat="1" ht="18.75" customHeight="1">
      <c r="A51" s="257" t="s">
        <v>53</v>
      </c>
      <c r="B51" s="115"/>
      <c r="C51" s="115"/>
      <c r="D51" s="115"/>
      <c r="E51" s="115"/>
      <c r="F51" s="115"/>
      <c r="G51" s="115"/>
      <c r="H51" s="115"/>
      <c r="I51" s="115"/>
      <c r="J51" s="115"/>
      <c r="K51" s="115"/>
      <c r="L51" s="115"/>
      <c r="M51" s="143"/>
      <c r="N51" s="514"/>
      <c r="O51" s="514"/>
      <c r="P51" s="514"/>
      <c r="Q51" s="115"/>
      <c r="R51" s="115"/>
      <c r="S51" s="115"/>
      <c r="T51" s="115"/>
      <c r="U51" s="115"/>
      <c r="V51" s="115"/>
      <c r="W51" s="531"/>
      <c r="X51" s="532"/>
      <c r="Y51" s="532"/>
      <c r="Z51" s="532"/>
      <c r="AA51" s="532"/>
      <c r="AB51" s="532"/>
      <c r="AC51" s="532"/>
      <c r="AD51" s="532"/>
      <c r="AE51" s="532"/>
      <c r="AF51" s="532"/>
      <c r="AG51" s="532"/>
      <c r="AH51" s="532"/>
      <c r="AI51" s="532"/>
      <c r="AJ51" s="532"/>
      <c r="AK51" s="533"/>
      <c r="AL51" s="529">
        <f>AL48-ABS(AL49)-ABS(AL50)</f>
        <v>0</v>
      </c>
      <c r="AM51" s="529"/>
      <c r="AN51" s="530"/>
      <c r="AX51" s="224"/>
      <c r="AZ51" s="224"/>
      <c r="BC51" s="224"/>
    </row>
    <row r="52" spans="1:40" ht="12.75" customHeight="1">
      <c r="A52" s="518" t="s">
        <v>111</v>
      </c>
      <c r="B52" s="519"/>
      <c r="C52" s="519"/>
      <c r="D52" s="519"/>
      <c r="E52" s="519"/>
      <c r="F52" s="519"/>
      <c r="G52" s="519"/>
      <c r="H52" s="519"/>
      <c r="I52" s="519"/>
      <c r="J52" s="519"/>
      <c r="K52" s="519"/>
      <c r="L52" s="519"/>
      <c r="M52" s="520"/>
      <c r="N52" s="520"/>
      <c r="O52" s="520"/>
      <c r="P52" s="520"/>
      <c r="Q52" s="519"/>
      <c r="R52" s="519"/>
      <c r="S52" s="519"/>
      <c r="T52" s="519"/>
      <c r="U52" s="519"/>
      <c r="V52" s="519"/>
      <c r="W52" s="519"/>
      <c r="X52" s="521"/>
      <c r="Y52" s="522" t="s">
        <v>44</v>
      </c>
      <c r="Z52" s="523"/>
      <c r="AA52" s="523"/>
      <c r="AB52" s="524"/>
      <c r="AC52" s="515" t="s">
        <v>10</v>
      </c>
      <c r="AD52" s="516"/>
      <c r="AE52" s="517"/>
      <c r="AF52" s="97"/>
      <c r="AG52" s="515" t="s">
        <v>11</v>
      </c>
      <c r="AH52" s="516"/>
      <c r="AI52" s="516"/>
      <c r="AJ52" s="517"/>
      <c r="AK52" s="118"/>
      <c r="AL52" s="515" t="s">
        <v>0</v>
      </c>
      <c r="AM52" s="516"/>
      <c r="AN52" s="517"/>
    </row>
    <row r="53" spans="1:40" ht="15.75" customHeight="1">
      <c r="A53" s="435"/>
      <c r="B53" s="436"/>
      <c r="C53" s="436"/>
      <c r="D53" s="436"/>
      <c r="E53" s="436"/>
      <c r="F53" s="436"/>
      <c r="G53" s="436"/>
      <c r="H53" s="436"/>
      <c r="I53" s="436"/>
      <c r="J53" s="436"/>
      <c r="K53" s="436"/>
      <c r="L53" s="436"/>
      <c r="M53" s="436"/>
      <c r="N53" s="436"/>
      <c r="O53" s="436"/>
      <c r="P53" s="436"/>
      <c r="Q53" s="436"/>
      <c r="R53" s="436"/>
      <c r="S53" s="436"/>
      <c r="T53" s="436"/>
      <c r="U53" s="436"/>
      <c r="V53" s="436"/>
      <c r="W53" s="436"/>
      <c r="X53" s="437"/>
      <c r="Y53" s="525"/>
      <c r="Z53" s="525"/>
      <c r="AA53" s="525"/>
      <c r="AB53" s="526"/>
      <c r="AC53" s="429"/>
      <c r="AD53" s="429"/>
      <c r="AE53" s="429"/>
      <c r="AF53" s="3"/>
      <c r="AG53" s="429"/>
      <c r="AH53" s="429"/>
      <c r="AI53" s="429"/>
      <c r="AJ53" s="429"/>
      <c r="AK53" s="119" t="s">
        <v>54</v>
      </c>
      <c r="AL53" s="369"/>
      <c r="AM53" s="369"/>
      <c r="AN53" s="369"/>
    </row>
    <row r="54" spans="1:40" ht="15.75" customHeight="1">
      <c r="A54" s="435"/>
      <c r="B54" s="436"/>
      <c r="C54" s="436"/>
      <c r="D54" s="436"/>
      <c r="E54" s="436"/>
      <c r="F54" s="436"/>
      <c r="G54" s="436"/>
      <c r="H54" s="436"/>
      <c r="I54" s="436"/>
      <c r="J54" s="436"/>
      <c r="K54" s="436"/>
      <c r="L54" s="436"/>
      <c r="M54" s="436"/>
      <c r="N54" s="436"/>
      <c r="O54" s="436"/>
      <c r="P54" s="436"/>
      <c r="Q54" s="436"/>
      <c r="R54" s="436"/>
      <c r="S54" s="436"/>
      <c r="T54" s="436"/>
      <c r="U54" s="436"/>
      <c r="V54" s="436"/>
      <c r="W54" s="436"/>
      <c r="X54" s="437"/>
      <c r="Y54" s="525"/>
      <c r="Z54" s="525"/>
      <c r="AA54" s="525"/>
      <c r="AB54" s="526"/>
      <c r="AC54" s="429"/>
      <c r="AD54" s="429"/>
      <c r="AE54" s="429"/>
      <c r="AF54" s="3"/>
      <c r="AG54" s="429"/>
      <c r="AH54" s="429"/>
      <c r="AI54" s="429"/>
      <c r="AJ54" s="429"/>
      <c r="AK54" s="120"/>
      <c r="AL54" s="433"/>
      <c r="AM54" s="434"/>
      <c r="AN54" s="434"/>
    </row>
    <row r="55" spans="1:40" ht="15.75" customHeight="1">
      <c r="A55" s="435"/>
      <c r="B55" s="436"/>
      <c r="C55" s="436"/>
      <c r="D55" s="436"/>
      <c r="E55" s="436"/>
      <c r="F55" s="436"/>
      <c r="G55" s="436"/>
      <c r="H55" s="436"/>
      <c r="I55" s="436"/>
      <c r="J55" s="436"/>
      <c r="K55" s="436"/>
      <c r="L55" s="436"/>
      <c r="M55" s="436"/>
      <c r="N55" s="436"/>
      <c r="O55" s="436"/>
      <c r="P55" s="436"/>
      <c r="Q55" s="436"/>
      <c r="R55" s="436"/>
      <c r="S55" s="436"/>
      <c r="T55" s="436"/>
      <c r="U55" s="436"/>
      <c r="V55" s="436"/>
      <c r="W55" s="436"/>
      <c r="X55" s="437"/>
      <c r="Y55" s="527"/>
      <c r="Z55" s="527"/>
      <c r="AA55" s="527"/>
      <c r="AB55" s="528"/>
      <c r="AC55" s="429"/>
      <c r="AD55" s="429"/>
      <c r="AE55" s="429"/>
      <c r="AF55" s="3"/>
      <c r="AG55" s="429"/>
      <c r="AH55" s="429"/>
      <c r="AI55" s="429"/>
      <c r="AJ55" s="429"/>
      <c r="AK55" s="120"/>
      <c r="AL55" s="433"/>
      <c r="AM55" s="434"/>
      <c r="AN55" s="434"/>
    </row>
    <row r="56" spans="1:40" ht="15.75" customHeight="1">
      <c r="A56" s="435"/>
      <c r="B56" s="436"/>
      <c r="C56" s="436"/>
      <c r="D56" s="436"/>
      <c r="E56" s="436"/>
      <c r="F56" s="436"/>
      <c r="G56" s="436"/>
      <c r="H56" s="436"/>
      <c r="I56" s="436"/>
      <c r="J56" s="436"/>
      <c r="K56" s="436"/>
      <c r="L56" s="436"/>
      <c r="M56" s="436"/>
      <c r="N56" s="436"/>
      <c r="O56" s="436"/>
      <c r="P56" s="436"/>
      <c r="Q56" s="436"/>
      <c r="R56" s="436"/>
      <c r="S56" s="436"/>
      <c r="T56" s="436"/>
      <c r="U56" s="436"/>
      <c r="V56" s="436"/>
      <c r="W56" s="436"/>
      <c r="X56" s="437"/>
      <c r="Y56" s="441" t="s">
        <v>12</v>
      </c>
      <c r="Z56" s="442"/>
      <c r="AA56" s="442"/>
      <c r="AB56" s="443"/>
      <c r="AC56" s="458">
        <f>IF(AND($AL$50&gt;0.01,$AL$51&lt;0.01),AC53,IF($AL$50&gt;0.01,"20102",""))</f>
      </c>
      <c r="AD56" s="458"/>
      <c r="AE56" s="458"/>
      <c r="AF56" s="98"/>
      <c r="AG56" s="457"/>
      <c r="AH56" s="457"/>
      <c r="AI56" s="457"/>
      <c r="AJ56" s="457"/>
      <c r="AK56" s="120"/>
      <c r="AL56" s="568">
        <f>IF(AND($AL$50&gt;0.01,$AL$51&lt;0.01),-AL53,IF($AL$50&gt;0.01,-$AL$50,""))</f>
      </c>
      <c r="AM56" s="569"/>
      <c r="AN56" s="569"/>
    </row>
    <row r="57" spans="1:40" ht="15.75" customHeight="1">
      <c r="A57" s="438"/>
      <c r="B57" s="439"/>
      <c r="C57" s="439"/>
      <c r="D57" s="439"/>
      <c r="E57" s="439"/>
      <c r="F57" s="439"/>
      <c r="G57" s="439"/>
      <c r="H57" s="439"/>
      <c r="I57" s="439"/>
      <c r="J57" s="439"/>
      <c r="K57" s="439"/>
      <c r="L57" s="439"/>
      <c r="M57" s="439"/>
      <c r="N57" s="439"/>
      <c r="O57" s="439"/>
      <c r="P57" s="439"/>
      <c r="Q57" s="439"/>
      <c r="R57" s="439"/>
      <c r="S57" s="439"/>
      <c r="T57" s="439"/>
      <c r="U57" s="439"/>
      <c r="V57" s="439"/>
      <c r="W57" s="439"/>
      <c r="X57" s="440"/>
      <c r="Y57" s="444"/>
      <c r="Z57" s="444"/>
      <c r="AA57" s="444"/>
      <c r="AB57" s="445"/>
      <c r="AC57" s="428" t="str">
        <f>IF(AND($AL$50&gt;0.01,$AL$51&lt;0.01,AL54+AL55&lt;&gt;0),+AC54," ")</f>
        <v> </v>
      </c>
      <c r="AD57" s="428"/>
      <c r="AE57" s="428"/>
      <c r="AF57" s="6"/>
      <c r="AG57" s="457"/>
      <c r="AH57" s="457"/>
      <c r="AI57" s="457"/>
      <c r="AJ57" s="457"/>
      <c r="AK57" s="121"/>
      <c r="AL57" s="568">
        <f>IF(AND($AL$50&gt;0.01,$AL$51&lt;0.01),-SUM(AL54:AN55),"")</f>
      </c>
      <c r="AM57" s="569"/>
      <c r="AN57" s="569"/>
    </row>
    <row r="58" spans="1:55" s="78" customFormat="1" ht="36.75" customHeight="1">
      <c r="A58" s="466" t="s">
        <v>68</v>
      </c>
      <c r="B58" s="466"/>
      <c r="C58" s="466"/>
      <c r="D58" s="466"/>
      <c r="E58" s="466"/>
      <c r="F58" s="466"/>
      <c r="G58" s="466"/>
      <c r="H58" s="466"/>
      <c r="I58" s="466"/>
      <c r="J58" s="466"/>
      <c r="K58" s="466"/>
      <c r="L58" s="466"/>
      <c r="M58" s="466"/>
      <c r="N58" s="466"/>
      <c r="O58" s="466"/>
      <c r="P58" s="466"/>
      <c r="Q58" s="466"/>
      <c r="R58" s="466"/>
      <c r="S58" s="466"/>
      <c r="T58" s="467"/>
      <c r="U58" s="467"/>
      <c r="V58" s="468"/>
      <c r="W58" s="131"/>
      <c r="X58" s="131"/>
      <c r="Y58" s="432" t="str">
        <f>"Expense Allocation / Advances Total "</f>
        <v>Expense Allocation / Advances Total </v>
      </c>
      <c r="Z58" s="432"/>
      <c r="AA58" s="432"/>
      <c r="AB58" s="432"/>
      <c r="AC58" s="432"/>
      <c r="AD58" s="432"/>
      <c r="AE58" s="432"/>
      <c r="AF58" s="432"/>
      <c r="AG58" s="432"/>
      <c r="AH58" s="432"/>
      <c r="AI58" s="432"/>
      <c r="AJ58" s="432"/>
      <c r="AK58" s="432"/>
      <c r="AL58" s="430">
        <f>SUM(AL53:AN57)</f>
        <v>0</v>
      </c>
      <c r="AM58" s="431"/>
      <c r="AN58" s="431"/>
      <c r="AX58" s="131"/>
      <c r="AZ58" s="131"/>
      <c r="BC58" s="131"/>
    </row>
    <row r="59" spans="1:55" s="78" customFormat="1" ht="35.25" customHeight="1">
      <c r="A59" s="475"/>
      <c r="B59" s="475"/>
      <c r="C59" s="475"/>
      <c r="D59" s="475"/>
      <c r="E59" s="475"/>
      <c r="F59" s="475"/>
      <c r="G59" s="475"/>
      <c r="H59" s="475"/>
      <c r="I59" s="475"/>
      <c r="J59" s="475"/>
      <c r="K59" s="475"/>
      <c r="L59" s="475"/>
      <c r="M59" s="475"/>
      <c r="N59" s="475"/>
      <c r="O59" s="475"/>
      <c r="P59" s="131"/>
      <c r="Q59" s="478"/>
      <c r="R59" s="478"/>
      <c r="S59" s="478"/>
      <c r="T59" s="478"/>
      <c r="U59" s="478"/>
      <c r="V59" s="131"/>
      <c r="W59" s="414"/>
      <c r="X59" s="414"/>
      <c r="Y59" s="414"/>
      <c r="Z59" s="414"/>
      <c r="AA59" s="414"/>
      <c r="AB59" s="414"/>
      <c r="AC59" s="414"/>
      <c r="AD59" s="414"/>
      <c r="AE59" s="414"/>
      <c r="AF59" s="414"/>
      <c r="AG59" s="414"/>
      <c r="AI59" s="131"/>
      <c r="AJ59" s="414"/>
      <c r="AK59" s="414"/>
      <c r="AL59" s="414"/>
      <c r="AM59" s="414"/>
      <c r="AN59" s="414"/>
      <c r="AX59" s="131"/>
      <c r="AZ59" s="131"/>
      <c r="BC59" s="131"/>
    </row>
    <row r="60" spans="1:40" ht="16.5" customHeight="1">
      <c r="A60" s="427" t="s">
        <v>15</v>
      </c>
      <c r="B60" s="427"/>
      <c r="C60" s="427"/>
      <c r="D60" s="427"/>
      <c r="E60" s="427"/>
      <c r="F60" s="427"/>
      <c r="G60" s="427"/>
      <c r="H60" s="427"/>
      <c r="I60" s="427"/>
      <c r="J60" s="427"/>
      <c r="K60" s="427"/>
      <c r="L60" s="427"/>
      <c r="M60" s="427"/>
      <c r="N60" s="427"/>
      <c r="O60" s="427"/>
      <c r="P60" s="12"/>
      <c r="Q60" s="465" t="s">
        <v>5</v>
      </c>
      <c r="R60" s="465"/>
      <c r="S60" s="465"/>
      <c r="T60" s="465"/>
      <c r="U60" s="465"/>
      <c r="V60" s="12"/>
      <c r="W60" s="427" t="s">
        <v>55</v>
      </c>
      <c r="X60" s="427"/>
      <c r="Y60" s="427"/>
      <c r="Z60" s="427"/>
      <c r="AA60" s="427"/>
      <c r="AB60" s="427"/>
      <c r="AC60" s="427"/>
      <c r="AD60" s="427"/>
      <c r="AE60" s="427"/>
      <c r="AF60" s="427"/>
      <c r="AG60" s="427"/>
      <c r="AI60" s="12"/>
      <c r="AJ60" s="413" t="s">
        <v>5</v>
      </c>
      <c r="AK60" s="413"/>
      <c r="AL60" s="413"/>
      <c r="AM60" s="413"/>
      <c r="AN60" s="413"/>
    </row>
    <row r="61" spans="1:40" ht="34.5" customHeight="1">
      <c r="A61" s="414"/>
      <c r="B61" s="414"/>
      <c r="C61" s="414"/>
      <c r="D61" s="414"/>
      <c r="E61" s="414"/>
      <c r="F61" s="414"/>
      <c r="G61" s="414"/>
      <c r="H61" s="414"/>
      <c r="I61" s="414"/>
      <c r="J61" s="414"/>
      <c r="K61" s="414"/>
      <c r="L61" s="414"/>
      <c r="M61" s="414"/>
      <c r="N61" s="414"/>
      <c r="O61" s="414"/>
      <c r="P61" s="414"/>
      <c r="Q61" s="414"/>
      <c r="R61" s="414"/>
      <c r="S61" s="414"/>
      <c r="T61" s="414"/>
      <c r="U61" s="414"/>
      <c r="V61" s="131"/>
      <c r="W61" s="213"/>
      <c r="X61" s="213"/>
      <c r="Y61" s="213"/>
      <c r="Z61" s="213"/>
      <c r="AA61" s="213"/>
      <c r="AB61" s="213"/>
      <c r="AC61" s="213"/>
      <c r="AD61" s="213"/>
      <c r="AE61" s="213"/>
      <c r="AF61" s="213"/>
      <c r="AG61" s="213"/>
      <c r="AH61" s="78"/>
      <c r="AI61" s="131"/>
      <c r="AJ61" s="414"/>
      <c r="AK61" s="414"/>
      <c r="AL61" s="414"/>
      <c r="AM61" s="414"/>
      <c r="AN61" s="414"/>
    </row>
    <row r="62" spans="1:40" ht="18.75" customHeight="1">
      <c r="A62" s="461" t="s">
        <v>37</v>
      </c>
      <c r="B62" s="461"/>
      <c r="C62" s="461"/>
      <c r="D62" s="461"/>
      <c r="E62" s="461"/>
      <c r="F62" s="461"/>
      <c r="G62" s="461"/>
      <c r="H62" s="461"/>
      <c r="I62" s="461"/>
      <c r="J62" s="461"/>
      <c r="K62" s="461"/>
      <c r="L62" s="461"/>
      <c r="M62" s="461"/>
      <c r="N62" s="461"/>
      <c r="O62" s="461"/>
      <c r="P62" s="461"/>
      <c r="Q62" s="461"/>
      <c r="R62" s="461"/>
      <c r="S62" s="461"/>
      <c r="T62" s="461"/>
      <c r="U62" s="461"/>
      <c r="V62" s="129"/>
      <c r="W62" s="425" t="s">
        <v>39</v>
      </c>
      <c r="X62" s="425"/>
      <c r="Y62" s="425"/>
      <c r="Z62" s="425"/>
      <c r="AA62" s="425"/>
      <c r="AB62" s="425"/>
      <c r="AC62" s="425"/>
      <c r="AD62" s="425"/>
      <c r="AE62" s="425"/>
      <c r="AF62" s="425"/>
      <c r="AG62" s="425"/>
      <c r="AH62" s="130"/>
      <c r="AI62" s="130"/>
      <c r="AJ62" s="413" t="s">
        <v>5</v>
      </c>
      <c r="AK62" s="413"/>
      <c r="AL62" s="413"/>
      <c r="AM62" s="413"/>
      <c r="AN62" s="413"/>
    </row>
    <row r="63" spans="1:40" ht="27" customHeight="1">
      <c r="A63" s="460"/>
      <c r="B63" s="460"/>
      <c r="C63" s="460"/>
      <c r="D63" s="460"/>
      <c r="E63" s="460"/>
      <c r="F63" s="460"/>
      <c r="G63" s="460"/>
      <c r="H63" s="460"/>
      <c r="I63" s="460"/>
      <c r="J63" s="460"/>
      <c r="K63" s="460"/>
      <c r="L63" s="460"/>
      <c r="M63" s="460"/>
      <c r="N63" s="460"/>
      <c r="O63" s="460"/>
      <c r="P63" s="460"/>
      <c r="Q63" s="460"/>
      <c r="R63" s="460"/>
      <c r="S63" s="460"/>
      <c r="T63" s="460"/>
      <c r="U63" s="460"/>
      <c r="V63" s="129"/>
      <c r="W63" s="426"/>
      <c r="X63" s="426"/>
      <c r="Y63" s="426"/>
      <c r="Z63" s="426"/>
      <c r="AA63" s="426"/>
      <c r="AB63" s="426"/>
      <c r="AC63" s="426"/>
      <c r="AD63" s="426"/>
      <c r="AE63" s="426"/>
      <c r="AF63" s="426"/>
      <c r="AG63" s="426"/>
      <c r="AH63" s="12"/>
      <c r="AI63" s="12"/>
      <c r="AJ63" s="12"/>
      <c r="AK63" s="12"/>
      <c r="AL63" s="130"/>
      <c r="AM63" s="130"/>
      <c r="AN63" s="130"/>
    </row>
    <row r="64" spans="1:40" ht="12" customHeight="1">
      <c r="A64" s="459" t="s">
        <v>16</v>
      </c>
      <c r="B64" s="459"/>
      <c r="C64" s="459"/>
      <c r="D64" s="459"/>
      <c r="E64" s="459"/>
      <c r="F64" s="459"/>
      <c r="G64" s="459"/>
      <c r="H64" s="459"/>
      <c r="I64" s="459"/>
      <c r="J64" s="459"/>
      <c r="K64" s="459"/>
      <c r="L64" s="459"/>
      <c r="M64" s="459"/>
      <c r="N64" s="459"/>
      <c r="O64" s="459"/>
      <c r="P64" s="459"/>
      <c r="Q64" s="459"/>
      <c r="R64" s="459"/>
      <c r="S64" s="459"/>
      <c r="T64" s="459"/>
      <c r="U64" s="459"/>
      <c r="V64" s="129"/>
      <c r="W64" s="12"/>
      <c r="X64" s="12"/>
      <c r="Y64" s="12"/>
      <c r="Z64" s="12"/>
      <c r="AA64" s="12"/>
      <c r="AB64" s="12"/>
      <c r="AC64" s="12"/>
      <c r="AD64" s="12"/>
      <c r="AE64" s="12"/>
      <c r="AF64" s="12"/>
      <c r="AG64" s="12"/>
      <c r="AH64" s="12"/>
      <c r="AI64" s="12"/>
      <c r="AJ64" s="12"/>
      <c r="AK64" s="12"/>
      <c r="AL64" s="130"/>
      <c r="AM64" s="130"/>
      <c r="AN64" s="130"/>
    </row>
    <row r="65" spans="1:40" ht="16.5" customHeight="1">
      <c r="A65" s="12"/>
      <c r="B65" s="12"/>
      <c r="C65" s="12"/>
      <c r="D65" s="12"/>
      <c r="E65" s="12"/>
      <c r="F65" s="12"/>
      <c r="G65" s="12"/>
      <c r="H65" s="12"/>
      <c r="I65" s="12"/>
      <c r="J65" s="12"/>
      <c r="K65" s="12"/>
      <c r="L65" s="12"/>
      <c r="M65" s="12"/>
      <c r="N65" s="12"/>
      <c r="O65" s="12"/>
      <c r="P65" s="12"/>
      <c r="Q65" s="12"/>
      <c r="R65" s="12"/>
      <c r="S65" s="12"/>
      <c r="T65" s="131"/>
      <c r="U65" s="129"/>
      <c r="V65" s="129"/>
      <c r="W65" s="129"/>
      <c r="X65" s="129"/>
      <c r="Y65" s="129"/>
      <c r="Z65" s="129"/>
      <c r="AA65" s="129"/>
      <c r="AB65" s="129"/>
      <c r="AC65" s="129"/>
      <c r="AD65" s="129"/>
      <c r="AE65" s="132"/>
      <c r="AF65" s="130"/>
      <c r="AG65" s="130"/>
      <c r="AH65" s="130"/>
      <c r="AI65" s="130"/>
      <c r="AJ65" s="130"/>
      <c r="AK65" s="130"/>
      <c r="AL65" s="130"/>
      <c r="AM65" s="130"/>
      <c r="AN65" s="130"/>
    </row>
    <row r="66" spans="1:40" ht="14.25" customHeight="1">
      <c r="A66" s="392" t="s">
        <v>17</v>
      </c>
      <c r="B66" s="393"/>
      <c r="C66" s="393"/>
      <c r="D66" s="393"/>
      <c r="E66" s="393"/>
      <c r="F66" s="393"/>
      <c r="G66" s="393"/>
      <c r="H66" s="393"/>
      <c r="I66" s="393"/>
      <c r="J66" s="393"/>
      <c r="K66" s="394"/>
      <c r="L66" s="496" t="s">
        <v>158</v>
      </c>
      <c r="M66" s="497"/>
      <c r="N66" s="497"/>
      <c r="O66" s="497"/>
      <c r="P66" s="497"/>
      <c r="Q66" s="497"/>
      <c r="R66" s="497"/>
      <c r="S66" s="497"/>
      <c r="T66" s="497"/>
      <c r="U66" s="497"/>
      <c r="V66" s="497"/>
      <c r="W66" s="497"/>
      <c r="X66" s="497"/>
      <c r="Y66" s="497"/>
      <c r="Z66" s="497"/>
      <c r="AA66" s="497"/>
      <c r="AB66" s="497"/>
      <c r="AC66" s="497"/>
      <c r="AD66" s="497"/>
      <c r="AE66" s="497"/>
      <c r="AF66" s="498"/>
      <c r="AG66" s="465" t="s">
        <v>18</v>
      </c>
      <c r="AH66" s="465"/>
      <c r="AI66" s="465"/>
      <c r="AJ66" s="465"/>
      <c r="AK66" s="465"/>
      <c r="AL66" s="465"/>
      <c r="AM66" s="465"/>
      <c r="AN66" s="495"/>
    </row>
    <row r="67" spans="1:40" ht="18.75" customHeight="1">
      <c r="A67" s="395"/>
      <c r="B67" s="396"/>
      <c r="C67" s="396"/>
      <c r="D67" s="396"/>
      <c r="E67" s="396"/>
      <c r="F67" s="396"/>
      <c r="G67" s="396"/>
      <c r="H67" s="396"/>
      <c r="I67" s="396"/>
      <c r="J67" s="396"/>
      <c r="K67" s="397"/>
      <c r="L67" s="499"/>
      <c r="M67" s="500"/>
      <c r="N67" s="500"/>
      <c r="O67" s="500"/>
      <c r="P67" s="500"/>
      <c r="Q67" s="500"/>
      <c r="R67" s="500"/>
      <c r="S67" s="500"/>
      <c r="T67" s="500"/>
      <c r="U67" s="500"/>
      <c r="V67" s="500"/>
      <c r="W67" s="500"/>
      <c r="X67" s="500"/>
      <c r="Y67" s="500"/>
      <c r="Z67" s="500"/>
      <c r="AA67" s="500"/>
      <c r="AB67" s="500"/>
      <c r="AC67" s="500"/>
      <c r="AD67" s="500"/>
      <c r="AE67" s="500"/>
      <c r="AF67" s="501"/>
      <c r="AG67" s="502"/>
      <c r="AH67" s="503"/>
      <c r="AI67" s="503"/>
      <c r="AJ67" s="503"/>
      <c r="AK67" s="503"/>
      <c r="AL67" s="503"/>
      <c r="AM67" s="503"/>
      <c r="AN67" s="504"/>
    </row>
    <row r="68" spans="1:40" ht="13.5" customHeight="1">
      <c r="A68" s="398"/>
      <c r="B68" s="399"/>
      <c r="C68" s="399"/>
      <c r="D68" s="399"/>
      <c r="E68" s="399"/>
      <c r="F68" s="399"/>
      <c r="G68" s="399"/>
      <c r="H68" s="399"/>
      <c r="I68" s="399"/>
      <c r="J68" s="399"/>
      <c r="K68" s="400"/>
      <c r="L68" s="401" t="s">
        <v>38</v>
      </c>
      <c r="M68" s="402"/>
      <c r="N68" s="402"/>
      <c r="O68" s="402"/>
      <c r="P68" s="402"/>
      <c r="Q68" s="402"/>
      <c r="R68" s="402"/>
      <c r="S68" s="402"/>
      <c r="T68" s="402"/>
      <c r="U68" s="402"/>
      <c r="V68" s="402"/>
      <c r="W68" s="402"/>
      <c r="X68" s="402"/>
      <c r="Y68" s="402"/>
      <c r="Z68" s="402"/>
      <c r="AA68" s="402"/>
      <c r="AB68" s="402"/>
      <c r="AC68" s="402"/>
      <c r="AD68" s="402"/>
      <c r="AE68" s="402"/>
      <c r="AF68" s="403"/>
      <c r="AG68" s="505"/>
      <c r="AH68" s="414"/>
      <c r="AI68" s="414"/>
      <c r="AJ68" s="414"/>
      <c r="AK68" s="414"/>
      <c r="AL68" s="414"/>
      <c r="AM68" s="414"/>
      <c r="AN68" s="506"/>
    </row>
    <row r="69" spans="1:40" ht="13.5">
      <c r="A69" s="79"/>
      <c r="B69" s="79"/>
      <c r="C69" s="79"/>
      <c r="D69" s="79"/>
      <c r="E69" s="79"/>
      <c r="F69" s="79"/>
      <c r="G69" s="79"/>
      <c r="H69" s="79"/>
      <c r="I69" s="79"/>
      <c r="J69" s="79"/>
      <c r="K69" s="79"/>
      <c r="L69" s="78"/>
      <c r="M69" s="78"/>
      <c r="N69" s="78"/>
      <c r="O69" s="78"/>
      <c r="P69" s="78"/>
      <c r="Q69" s="78"/>
      <c r="R69" s="78"/>
      <c r="S69" s="78"/>
      <c r="T69" s="78"/>
      <c r="U69" s="78"/>
      <c r="V69" s="78"/>
      <c r="W69" s="78"/>
      <c r="X69" s="78"/>
      <c r="Y69" s="78"/>
      <c r="Z69" s="78"/>
      <c r="AA69" s="78"/>
      <c r="AB69" s="78"/>
      <c r="AC69" s="78"/>
      <c r="AD69" s="78"/>
      <c r="AE69" s="78"/>
      <c r="AF69" s="78"/>
      <c r="AG69" s="80"/>
      <c r="AH69" s="80"/>
      <c r="AI69" s="80"/>
      <c r="AJ69" s="80"/>
      <c r="AK69" s="80"/>
      <c r="AL69" s="80"/>
      <c r="AM69" s="80"/>
      <c r="AN69" s="80"/>
    </row>
    <row r="70" spans="1:12" ht="15.75" customHeight="1">
      <c r="A70" s="382"/>
      <c r="B70" s="382"/>
      <c r="C70" s="382"/>
      <c r="D70" s="382"/>
      <c r="E70" s="382"/>
      <c r="F70" s="382"/>
      <c r="G70" s="382"/>
      <c r="H70" s="382"/>
      <c r="I70" s="382"/>
      <c r="J70" s="382"/>
      <c r="K70" s="382"/>
      <c r="L70" s="382"/>
    </row>
    <row r="71" spans="1:12" ht="15.75" customHeight="1">
      <c r="A71" s="382"/>
      <c r="B71" s="382"/>
      <c r="C71" s="382"/>
      <c r="D71" s="382"/>
      <c r="E71" s="382"/>
      <c r="F71" s="382"/>
      <c r="G71" s="382"/>
      <c r="H71" s="382"/>
      <c r="I71" s="382"/>
      <c r="J71" s="382"/>
      <c r="K71" s="382"/>
      <c r="L71" s="382"/>
    </row>
    <row r="72" spans="1:12" ht="15.75" customHeight="1">
      <c r="A72" s="382"/>
      <c r="B72" s="382"/>
      <c r="C72" s="382"/>
      <c r="D72" s="382"/>
      <c r="E72" s="382"/>
      <c r="F72" s="382"/>
      <c r="G72" s="382"/>
      <c r="H72" s="382"/>
      <c r="I72" s="382"/>
      <c r="J72" s="382"/>
      <c r="K72" s="382"/>
      <c r="L72" s="382"/>
    </row>
  </sheetData>
  <sheetProtection password="DE4F" sheet="1" selectLockedCells="1"/>
  <mergeCells count="400">
    <mergeCell ref="AL17:AN18"/>
    <mergeCell ref="M14:O14"/>
    <mergeCell ref="P14:R14"/>
    <mergeCell ref="S14:U14"/>
    <mergeCell ref="V14:X14"/>
    <mergeCell ref="Y14:AA14"/>
    <mergeCell ref="AB14:AD14"/>
    <mergeCell ref="Y15:AA15"/>
    <mergeCell ref="AE16:AG16"/>
    <mergeCell ref="AE38:AG38"/>
    <mergeCell ref="A41:L41"/>
    <mergeCell ref="AE41:AG41"/>
    <mergeCell ref="AB41:AD41"/>
    <mergeCell ref="Y41:AA41"/>
    <mergeCell ref="V41:X41"/>
    <mergeCell ref="S41:U41"/>
    <mergeCell ref="P41:R41"/>
    <mergeCell ref="M41:O41"/>
    <mergeCell ref="S38:U38"/>
    <mergeCell ref="M40:O40"/>
    <mergeCell ref="B40:L40"/>
    <mergeCell ref="Y37:AA37"/>
    <mergeCell ref="AL41:AN41"/>
    <mergeCell ref="AI41:AK41"/>
    <mergeCell ref="AE40:AG40"/>
    <mergeCell ref="AB40:AD40"/>
    <mergeCell ref="Y40:AA40"/>
    <mergeCell ref="AL40:AN40"/>
    <mergeCell ref="AI40:AK40"/>
    <mergeCell ref="B34:L34"/>
    <mergeCell ref="Y34:AA34"/>
    <mergeCell ref="V34:X34"/>
    <mergeCell ref="S34:U34"/>
    <mergeCell ref="P34:R34"/>
    <mergeCell ref="M34:O34"/>
    <mergeCell ref="Y21:AA21"/>
    <mergeCell ref="AE13:AG13"/>
    <mergeCell ref="V25:X25"/>
    <mergeCell ref="S25:U25"/>
    <mergeCell ref="P25:R25"/>
    <mergeCell ref="M25:O25"/>
    <mergeCell ref="AB20:AD20"/>
    <mergeCell ref="AB16:AD16"/>
    <mergeCell ref="AB19:AD19"/>
    <mergeCell ref="Z17:AA17"/>
    <mergeCell ref="P4:AC4"/>
    <mergeCell ref="C24:G24"/>
    <mergeCell ref="C26:G26"/>
    <mergeCell ref="B29:G29"/>
    <mergeCell ref="B31:G31"/>
    <mergeCell ref="M21:O21"/>
    <mergeCell ref="V31:X31"/>
    <mergeCell ref="AC17:AD17"/>
    <mergeCell ref="M8:AN9"/>
    <mergeCell ref="M7:AN7"/>
    <mergeCell ref="M42:O42"/>
    <mergeCell ref="V32:X32"/>
    <mergeCell ref="V33:X33"/>
    <mergeCell ref="V38:X38"/>
    <mergeCell ref="M37:O37"/>
    <mergeCell ref="P37:R37"/>
    <mergeCell ref="M39:O39"/>
    <mergeCell ref="P42:R42"/>
    <mergeCell ref="P40:R40"/>
    <mergeCell ref="V40:X40"/>
    <mergeCell ref="M44:O44"/>
    <mergeCell ref="P43:R43"/>
    <mergeCell ref="Y48:AA48"/>
    <mergeCell ref="S47:U47"/>
    <mergeCell ref="P48:R48"/>
    <mergeCell ref="Y47:AA47"/>
    <mergeCell ref="S44:U44"/>
    <mergeCell ref="Y44:AA44"/>
    <mergeCell ref="AB47:AD47"/>
    <mergeCell ref="AL43:AN43"/>
    <mergeCell ref="AB46:AD46"/>
    <mergeCell ref="Y46:AA46"/>
    <mergeCell ref="Y43:AA43"/>
    <mergeCell ref="AL46:AN46"/>
    <mergeCell ref="AI46:AK46"/>
    <mergeCell ref="AI47:AK47"/>
    <mergeCell ref="AE43:AG43"/>
    <mergeCell ref="AB44:AD44"/>
    <mergeCell ref="S39:U39"/>
    <mergeCell ref="P47:R47"/>
    <mergeCell ref="Y38:AA38"/>
    <mergeCell ref="Y42:AA42"/>
    <mergeCell ref="V46:X46"/>
    <mergeCell ref="V44:X44"/>
    <mergeCell ref="S40:U40"/>
    <mergeCell ref="V43:X43"/>
    <mergeCell ref="P44:R44"/>
    <mergeCell ref="V42:X42"/>
    <mergeCell ref="AL31:AN31"/>
    <mergeCell ref="AL33:AN33"/>
    <mergeCell ref="AL57:AN57"/>
    <mergeCell ref="AL56:AN56"/>
    <mergeCell ref="AE39:AG39"/>
    <mergeCell ref="AL48:AN48"/>
    <mergeCell ref="AL49:AN49"/>
    <mergeCell ref="AG56:AJ56"/>
    <mergeCell ref="AE47:AG47"/>
    <mergeCell ref="AI35:AN35"/>
    <mergeCell ref="AB48:AD48"/>
    <mergeCell ref="AC53:AE53"/>
    <mergeCell ref="AI48:AK48"/>
    <mergeCell ref="AE31:AG31"/>
    <mergeCell ref="AE29:AG29"/>
    <mergeCell ref="AE37:AG37"/>
    <mergeCell ref="AB43:AD43"/>
    <mergeCell ref="AI32:AK32"/>
    <mergeCell ref="AI39:AK39"/>
    <mergeCell ref="AI43:AK43"/>
    <mergeCell ref="A8:F8"/>
    <mergeCell ref="H14:L14"/>
    <mergeCell ref="A9:F9"/>
    <mergeCell ref="G8:L8"/>
    <mergeCell ref="G9:L9"/>
    <mergeCell ref="Y20:AA20"/>
    <mergeCell ref="A13:G13"/>
    <mergeCell ref="M10:O10"/>
    <mergeCell ref="C21:G21"/>
    <mergeCell ref="S12:U12"/>
    <mergeCell ref="M13:O13"/>
    <mergeCell ref="K18:L18"/>
    <mergeCell ref="V29:X29"/>
    <mergeCell ref="A5:C6"/>
    <mergeCell ref="D5:O6"/>
    <mergeCell ref="R6:AC6"/>
    <mergeCell ref="AB15:AD15"/>
    <mergeCell ref="AD5:AK5"/>
    <mergeCell ref="P5:Q5"/>
    <mergeCell ref="P6:Q6"/>
    <mergeCell ref="V11:X11"/>
    <mergeCell ref="A7:L7"/>
    <mergeCell ref="M30:O30"/>
    <mergeCell ref="S13:U13"/>
    <mergeCell ref="M12:O12"/>
    <mergeCell ref="P12:R12"/>
    <mergeCell ref="P29:R29"/>
    <mergeCell ref="P27:R27"/>
    <mergeCell ref="S37:U37"/>
    <mergeCell ref="AE32:AG32"/>
    <mergeCell ref="Y32:AA32"/>
    <mergeCell ref="M31:O31"/>
    <mergeCell ref="P33:R33"/>
    <mergeCell ref="S31:U31"/>
    <mergeCell ref="S33:U33"/>
    <mergeCell ref="AB38:AD38"/>
    <mergeCell ref="AB33:AD33"/>
    <mergeCell ref="Y31:AA31"/>
    <mergeCell ref="AB21:AD21"/>
    <mergeCell ref="AB30:AD30"/>
    <mergeCell ref="Y24:AA24"/>
    <mergeCell ref="Y22:AA22"/>
    <mergeCell ref="Y25:AA25"/>
    <mergeCell ref="AB32:AD32"/>
    <mergeCell ref="AB31:AD31"/>
    <mergeCell ref="AI19:AK19"/>
    <mergeCell ref="AI22:AK22"/>
    <mergeCell ref="AL53:AN53"/>
    <mergeCell ref="AL19:AN19"/>
    <mergeCell ref="AL20:AN20"/>
    <mergeCell ref="AE19:AG19"/>
    <mergeCell ref="AE24:AG24"/>
    <mergeCell ref="AE33:AG33"/>
    <mergeCell ref="AE34:AG34"/>
    <mergeCell ref="AG53:AJ53"/>
    <mergeCell ref="N51:P51"/>
    <mergeCell ref="AL52:AN52"/>
    <mergeCell ref="AC52:AE52"/>
    <mergeCell ref="V48:X48"/>
    <mergeCell ref="A52:X52"/>
    <mergeCell ref="Y52:AB55"/>
    <mergeCell ref="AL51:AN51"/>
    <mergeCell ref="W51:AK51"/>
    <mergeCell ref="AG54:AJ54"/>
    <mergeCell ref="AG52:AJ52"/>
    <mergeCell ref="P38:R38"/>
    <mergeCell ref="Y29:AA29"/>
    <mergeCell ref="AL5:AN5"/>
    <mergeCell ref="AI31:AK31"/>
    <mergeCell ref="R5:AC5"/>
    <mergeCell ref="P10:R10"/>
    <mergeCell ref="S10:U10"/>
    <mergeCell ref="V24:X24"/>
    <mergeCell ref="AB29:AD29"/>
    <mergeCell ref="AM6:AN6"/>
    <mergeCell ref="Y30:AA30"/>
    <mergeCell ref="Y27:AA27"/>
    <mergeCell ref="V30:X30"/>
    <mergeCell ref="V37:X37"/>
    <mergeCell ref="Y33:AA33"/>
    <mergeCell ref="AE20:AG20"/>
    <mergeCell ref="AB34:AD34"/>
    <mergeCell ref="V22:X22"/>
    <mergeCell ref="V26:X26"/>
    <mergeCell ref="V27:X27"/>
    <mergeCell ref="AI20:AK20"/>
    <mergeCell ref="AI30:AK30"/>
    <mergeCell ref="AE30:AG30"/>
    <mergeCell ref="AL29:AN29"/>
    <mergeCell ref="AI26:AK26"/>
    <mergeCell ref="AE26:AG26"/>
    <mergeCell ref="AL30:AN30"/>
    <mergeCell ref="AI27:AK27"/>
    <mergeCell ref="AE27:AG27"/>
    <mergeCell ref="AB27:AD27"/>
    <mergeCell ref="AL26:AN26"/>
    <mergeCell ref="AL25:AN25"/>
    <mergeCell ref="AL27:AN27"/>
    <mergeCell ref="AI25:AK25"/>
    <mergeCell ref="AL21:AN21"/>
    <mergeCell ref="AI21:AK21"/>
    <mergeCell ref="AE22:AG22"/>
    <mergeCell ref="AE21:AG21"/>
    <mergeCell ref="AL22:AN22"/>
    <mergeCell ref="AB22:AD22"/>
    <mergeCell ref="AL24:AN24"/>
    <mergeCell ref="AB24:AD24"/>
    <mergeCell ref="AI24:AK24"/>
    <mergeCell ref="H25:L25"/>
    <mergeCell ref="P26:R26"/>
    <mergeCell ref="AG66:AN66"/>
    <mergeCell ref="L66:AF67"/>
    <mergeCell ref="AG67:AN68"/>
    <mergeCell ref="M33:O33"/>
    <mergeCell ref="M29:O29"/>
    <mergeCell ref="AI29:AK29"/>
    <mergeCell ref="AE25:AG25"/>
    <mergeCell ref="AB25:AD25"/>
    <mergeCell ref="Y19:AA19"/>
    <mergeCell ref="Z18:AA18"/>
    <mergeCell ref="AC18:AD18"/>
    <mergeCell ref="S20:U20"/>
    <mergeCell ref="M46:O46"/>
    <mergeCell ref="S26:U26"/>
    <mergeCell ref="S19:U19"/>
    <mergeCell ref="M20:O20"/>
    <mergeCell ref="P39:R39"/>
    <mergeCell ref="Y26:AA26"/>
    <mergeCell ref="AE10:AG10"/>
    <mergeCell ref="M15:O15"/>
    <mergeCell ref="P15:R15"/>
    <mergeCell ref="Y11:AA11"/>
    <mergeCell ref="AB13:AD13"/>
    <mergeCell ref="Y10:AA10"/>
    <mergeCell ref="V12:X12"/>
    <mergeCell ref="Y12:AA12"/>
    <mergeCell ref="V10:X10"/>
    <mergeCell ref="P11:R11"/>
    <mergeCell ref="Y13:AA13"/>
    <mergeCell ref="V13:X13"/>
    <mergeCell ref="AB11:AD11"/>
    <mergeCell ref="AI17:AK18"/>
    <mergeCell ref="AE11:AG11"/>
    <mergeCell ref="AB12:AD12"/>
    <mergeCell ref="AF17:AG17"/>
    <mergeCell ref="AE12:AG12"/>
    <mergeCell ref="AE14:AG14"/>
    <mergeCell ref="AB10:AD10"/>
    <mergeCell ref="P13:R13"/>
    <mergeCell ref="H13:L13"/>
    <mergeCell ref="AF18:AG18"/>
    <mergeCell ref="W17:X17"/>
    <mergeCell ref="P16:R16"/>
    <mergeCell ref="Y16:AA16"/>
    <mergeCell ref="AE15:AG15"/>
    <mergeCell ref="V16:X16"/>
    <mergeCell ref="N18:O18"/>
    <mergeCell ref="B46:L46"/>
    <mergeCell ref="C37:L37"/>
    <mergeCell ref="H30:L30"/>
    <mergeCell ref="H33:L33"/>
    <mergeCell ref="C20:G20"/>
    <mergeCell ref="C22:G22"/>
    <mergeCell ref="H29:L29"/>
    <mergeCell ref="H31:L31"/>
    <mergeCell ref="B33:G33"/>
    <mergeCell ref="C25:G25"/>
    <mergeCell ref="S11:U11"/>
    <mergeCell ref="H11:L11"/>
    <mergeCell ref="B39:L39"/>
    <mergeCell ref="S43:U43"/>
    <mergeCell ref="P46:R46"/>
    <mergeCell ref="A59:O59"/>
    <mergeCell ref="A44:G44"/>
    <mergeCell ref="Q59:U59"/>
    <mergeCell ref="B47:L47"/>
    <mergeCell ref="S42:U42"/>
    <mergeCell ref="A64:U64"/>
    <mergeCell ref="A60:O60"/>
    <mergeCell ref="A63:U63"/>
    <mergeCell ref="A61:U61"/>
    <mergeCell ref="A62:U62"/>
    <mergeCell ref="M47:O47"/>
    <mergeCell ref="Q60:U60"/>
    <mergeCell ref="A58:V58"/>
    <mergeCell ref="M48:O48"/>
    <mergeCell ref="V47:X47"/>
    <mergeCell ref="AE42:AG42"/>
    <mergeCell ref="AB42:AD42"/>
    <mergeCell ref="AG57:AJ57"/>
    <mergeCell ref="AL47:AN47"/>
    <mergeCell ref="AC56:AE56"/>
    <mergeCell ref="AC55:AE55"/>
    <mergeCell ref="AL54:AN54"/>
    <mergeCell ref="AL50:AN50"/>
    <mergeCell ref="AC54:AE54"/>
    <mergeCell ref="AE48:AG48"/>
    <mergeCell ref="AL58:AN58"/>
    <mergeCell ref="Y58:AK58"/>
    <mergeCell ref="AL55:AN55"/>
    <mergeCell ref="A53:X57"/>
    <mergeCell ref="Y56:AB57"/>
    <mergeCell ref="AL44:AN44"/>
    <mergeCell ref="AI44:AK44"/>
    <mergeCell ref="AE46:AG46"/>
    <mergeCell ref="S46:U46"/>
    <mergeCell ref="S48:U48"/>
    <mergeCell ref="AL34:AN34"/>
    <mergeCell ref="AI34:AK34"/>
    <mergeCell ref="AI33:AK33"/>
    <mergeCell ref="AI42:AK42"/>
    <mergeCell ref="AL39:AN39"/>
    <mergeCell ref="W62:AG63"/>
    <mergeCell ref="W59:AG59"/>
    <mergeCell ref="W60:AG60"/>
    <mergeCell ref="AC57:AE57"/>
    <mergeCell ref="AG55:AJ55"/>
    <mergeCell ref="P21:R21"/>
    <mergeCell ref="S21:U21"/>
    <mergeCell ref="H20:L20"/>
    <mergeCell ref="P22:R22"/>
    <mergeCell ref="H22:L22"/>
    <mergeCell ref="AJ62:AN62"/>
    <mergeCell ref="AJ59:AN59"/>
    <mergeCell ref="AJ60:AN60"/>
    <mergeCell ref="AJ61:AN61"/>
    <mergeCell ref="AL32:AN32"/>
    <mergeCell ref="H16:L16"/>
    <mergeCell ref="T17:U17"/>
    <mergeCell ref="Q17:R17"/>
    <mergeCell ref="P31:R31"/>
    <mergeCell ref="S30:U30"/>
    <mergeCell ref="P30:R30"/>
    <mergeCell ref="H21:L21"/>
    <mergeCell ref="Q18:R18"/>
    <mergeCell ref="P19:R19"/>
    <mergeCell ref="H24:L24"/>
    <mergeCell ref="L68:AF68"/>
    <mergeCell ref="AB26:AD26"/>
    <mergeCell ref="AB37:AD37"/>
    <mergeCell ref="M43:O43"/>
    <mergeCell ref="S29:U29"/>
    <mergeCell ref="V39:X39"/>
    <mergeCell ref="Y39:AA39"/>
    <mergeCell ref="AB39:AD39"/>
    <mergeCell ref="S32:U32"/>
    <mergeCell ref="M38:O38"/>
    <mergeCell ref="A70:L72"/>
    <mergeCell ref="H27:L27"/>
    <mergeCell ref="P32:R32"/>
    <mergeCell ref="M32:O32"/>
    <mergeCell ref="S27:U27"/>
    <mergeCell ref="B30:G30"/>
    <mergeCell ref="B32:G32"/>
    <mergeCell ref="H32:L32"/>
    <mergeCell ref="A66:K66"/>
    <mergeCell ref="A67:K68"/>
    <mergeCell ref="S22:U22"/>
    <mergeCell ref="S24:U24"/>
    <mergeCell ref="M24:O24"/>
    <mergeCell ref="C38:L38"/>
    <mergeCell ref="M22:O22"/>
    <mergeCell ref="M27:O27"/>
    <mergeCell ref="M26:O26"/>
    <mergeCell ref="C27:G27"/>
    <mergeCell ref="H26:L26"/>
    <mergeCell ref="P24:R24"/>
    <mergeCell ref="AE44:AG44"/>
    <mergeCell ref="M11:O11"/>
    <mergeCell ref="V15:X15"/>
    <mergeCell ref="V20:X20"/>
    <mergeCell ref="V19:X19"/>
    <mergeCell ref="V21:X21"/>
    <mergeCell ref="P20:R20"/>
    <mergeCell ref="W18:X18"/>
    <mergeCell ref="T18:U18"/>
    <mergeCell ref="S16:U16"/>
    <mergeCell ref="H18:I18"/>
    <mergeCell ref="AD6:AK6"/>
    <mergeCell ref="H3:AF3"/>
    <mergeCell ref="C19:L19"/>
    <mergeCell ref="M19:O19"/>
    <mergeCell ref="M16:O16"/>
    <mergeCell ref="N17:O17"/>
    <mergeCell ref="C18:G18"/>
    <mergeCell ref="S15:U15"/>
    <mergeCell ref="H15:L15"/>
  </mergeCells>
  <conditionalFormatting sqref="AL58:AN58">
    <cfRule type="cellIs" priority="1" dxfId="1" operator="notEqual" stopIfTrue="1">
      <formula>$AL$51</formula>
    </cfRule>
  </conditionalFormatting>
  <dataValidations count="6">
    <dataValidation allowBlank="1" showErrorMessage="1" sqref="BC1:BC5 AL1:AN6 AG1:AK5 S39:S65536 AC26:AD31 A73:L65536 C10:C21 Q26:R31 AE10:AE28 P10:P28 AF11:AG20 Q11:R20 AC11:AD20 Z11:AA20 W11:X20 V10:V34 P30:P34 Y10:Y34 T11:U20 D23:L23 D28:L28 D26:G26 Q33:R33 N33:O33 AE29:AG29 AF26:AG28 B29:B34 C23:C28 W33:X33 A10:B28 N30:O31 A5:A8 AD4:AF5 P39:P65536 G5:I7 V39:V65536 L4 Y39:Y65536 N29:P29 T33:U33 AF30:AG31 T26:U31 W26:X31 Z26:AA31 AM51:AN65536 Z42:AA43 AC42:AD43 A52:A70 N11:O20 AB39:AB65536 E5:E7 BG1:BG7 J4:J7 BC7:BC8 J10:L18 D10:I11 D13:I18 D12:E12 G12:H12 AG56:AJ65536 N4:AC6 M39:M65536 AG48:AG52 N45:O65536 Z33:AA33 K5:M7 AK42:AK65536 N26:O28 N22:O24 AF22:AG24 AC22:AD24 Z22:AA24 W22:X24 T22:U24 Q22:R24 S10:S34 N42:O43 A30:A50 AJ36:AN38 BH1:IV65536 AF33:AG33 AC33:AD33 W42:X43 AE30:AE34 M10:M34 AB10:AB34 T42:U43 B35:AG38 BD1:BF65536 AO1:BB65536 BG9:BG65536 BC10:BC65536 AE39:AE65536 B42:L69 C39:L39 B39:B40 AJ42:AJ52 Q42:R43 AF39:AG39 AC39:AD39"/>
    <dataValidation allowBlank="1" showErrorMessage="1" sqref="Z39:AA39 W39:X39 T39:U39 Q39:R39 N39:O39 B1:D7 AJ39:AK39 AL39:AL65536 AM39:AN49 AF42:AG43 AF45:AG47 AC45:AD65536 Z45:AA65536 W45:X65536 T45:U65536 Q45:R65536 AF48:AF65536 F1:F7 A1:A2 H3 G1:G3 H1:AF2 E1:E2 AH10:AH52 AI13:AI52 AJ13:AK33 AL13:AN16 AL19:AN33 AL17 AI10:AN10"/>
    <dataValidation type="list" allowBlank="1" showErrorMessage="1" sqref="H20 H22:L22 H29:L31 I26:L27 H24:H27 I24:L24 H33:L33">
      <formula1>"PCard, PV, Self"</formula1>
    </dataValidation>
    <dataValidation type="list" allowBlank="1" showInputMessage="1" showErrorMessage="1" sqref="H32:L32 H21:L21">
      <formula1>"PCard, PV, Self"</formula1>
    </dataValidation>
    <dataValidation type="list" allowBlank="1" showErrorMessage="1" sqref="AG53:AJ55">
      <formula1>"N003,N005,N010,N011,N012,N013,N015,N017,N020,N030,N070,N075,N111,N112,N113,G005,G010"</formula1>
    </dataValidation>
    <dataValidation type="list" allowBlank="1" showDropDown="1" showErrorMessage="1" error="rhgao" sqref="BG8">
      <formula1>"OK"</formula1>
    </dataValidation>
  </dataValidations>
  <printOptions verticalCentered="1"/>
  <pageMargins left="0" right="0" top="0" bottom="0" header="0" footer="0"/>
  <pageSetup fitToHeight="1" fitToWidth="1" horizontalDpi="600" verticalDpi="600" orientation="portrait" scale="69" r:id="rId2"/>
  <headerFooter scaleWithDoc="0">
    <oddHeader>&amp;C 
                       &amp;R
</oddHeader>
    <oddFooter>&amp;C&amp;A&amp;R&amp;9Form updated: 12/2014</oddFooter>
  </headerFooter>
  <ignoredErrors>
    <ignoredError sqref="N47:O47 N46:O46" unlockedFormula="1"/>
  </ignoredError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33</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20">
        <v>8</v>
      </c>
      <c r="N10" s="621"/>
      <c r="O10" s="621"/>
      <c r="P10" s="621">
        <v>9</v>
      </c>
      <c r="Q10" s="621"/>
      <c r="R10" s="621"/>
      <c r="S10" s="620">
        <v>10</v>
      </c>
      <c r="T10" s="621"/>
      <c r="U10" s="621"/>
      <c r="V10" s="621">
        <v>11</v>
      </c>
      <c r="W10" s="621"/>
      <c r="X10" s="621"/>
      <c r="Y10" s="620">
        <v>12</v>
      </c>
      <c r="Z10" s="621"/>
      <c r="AA10" s="621"/>
      <c r="AB10" s="621">
        <v>13</v>
      </c>
      <c r="AC10" s="621"/>
      <c r="AD10" s="621"/>
      <c r="AE10" s="620">
        <v>14</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1'!AE11+1,"")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210</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A5:C6"/>
    <mergeCell ref="Z16:AA16"/>
    <mergeCell ref="Z17:AA17"/>
    <mergeCell ref="Y18:AA18"/>
    <mergeCell ref="C19:G19"/>
    <mergeCell ref="H23:L23"/>
    <mergeCell ref="H19:L19"/>
    <mergeCell ref="H17:I17"/>
    <mergeCell ref="P5:Q5"/>
    <mergeCell ref="P6:Q6"/>
    <mergeCell ref="AO7:AS7"/>
    <mergeCell ref="AI5:AK5"/>
    <mergeCell ref="AB5:AG5"/>
    <mergeCell ref="AB6:AG6"/>
    <mergeCell ref="M7:AK7"/>
    <mergeCell ref="D5:O6"/>
    <mergeCell ref="A7:L7"/>
    <mergeCell ref="R6:AA6"/>
    <mergeCell ref="AL5:AP5"/>
    <mergeCell ref="R5:AA5"/>
    <mergeCell ref="Y15:AA15"/>
    <mergeCell ref="S13:U13"/>
    <mergeCell ref="AE15:AG15"/>
    <mergeCell ref="AB15:AD15"/>
    <mergeCell ref="V15:X15"/>
    <mergeCell ref="AB18:AD18"/>
    <mergeCell ref="AC17:AD17"/>
    <mergeCell ref="W16:X16"/>
    <mergeCell ref="AJ6:AK6"/>
    <mergeCell ref="B32:G32"/>
    <mergeCell ref="B31:G31"/>
    <mergeCell ref="B29:G29"/>
    <mergeCell ref="C20:G20"/>
    <mergeCell ref="C21:G21"/>
    <mergeCell ref="C26:G26"/>
    <mergeCell ref="C25:G25"/>
    <mergeCell ref="C23:G23"/>
    <mergeCell ref="B30:G30"/>
    <mergeCell ref="C24:G24"/>
    <mergeCell ref="AB14:AD14"/>
    <mergeCell ref="V11:X11"/>
    <mergeCell ref="AB12:AD12"/>
    <mergeCell ref="AE12:AG12"/>
    <mergeCell ref="A50:AK51"/>
    <mergeCell ref="C17:G17"/>
    <mergeCell ref="K17:L17"/>
    <mergeCell ref="AE48:AG48"/>
    <mergeCell ref="S19:U19"/>
    <mergeCell ref="S48:U48"/>
    <mergeCell ref="AC16:AD16"/>
    <mergeCell ref="AF16:AG16"/>
    <mergeCell ref="AI42:AK42"/>
    <mergeCell ref="AI48:AK48"/>
    <mergeCell ref="AB30:AD30"/>
    <mergeCell ref="AE42:AG42"/>
    <mergeCell ref="AE46:AG46"/>
    <mergeCell ref="AI32:AK32"/>
    <mergeCell ref="AB48:AD48"/>
    <mergeCell ref="AB47:AD47"/>
    <mergeCell ref="AI46:AK46"/>
    <mergeCell ref="AI47:AK47"/>
    <mergeCell ref="Y48:AA48"/>
    <mergeCell ref="AI44:AK44"/>
    <mergeCell ref="AB42:AD42"/>
    <mergeCell ref="AI43:AK43"/>
    <mergeCell ref="AB43:AD43"/>
    <mergeCell ref="Y47:AA47"/>
    <mergeCell ref="AI39:AK39"/>
    <mergeCell ref="AB39:AD39"/>
    <mergeCell ref="AE39:AG39"/>
    <mergeCell ref="P41:R41"/>
    <mergeCell ref="B40:L40"/>
    <mergeCell ref="P47:R47"/>
    <mergeCell ref="P43:R43"/>
    <mergeCell ref="M47:O47"/>
    <mergeCell ref="AE47:AG47"/>
    <mergeCell ref="AB46:AD46"/>
    <mergeCell ref="P48:R48"/>
    <mergeCell ref="P39:R39"/>
    <mergeCell ref="M42:O42"/>
    <mergeCell ref="P42:R42"/>
    <mergeCell ref="B39:L39"/>
    <mergeCell ref="P40:R40"/>
    <mergeCell ref="M44:AG44"/>
    <mergeCell ref="S42:U42"/>
    <mergeCell ref="V42:X42"/>
    <mergeCell ref="V40:X40"/>
    <mergeCell ref="M26:O26"/>
    <mergeCell ref="A49:AK49"/>
    <mergeCell ref="M39:O39"/>
    <mergeCell ref="AE43:AG43"/>
    <mergeCell ref="AE41:AG41"/>
    <mergeCell ref="M43:O43"/>
    <mergeCell ref="Y42:AA42"/>
    <mergeCell ref="M46:O46"/>
    <mergeCell ref="V48:X48"/>
    <mergeCell ref="M48:O48"/>
    <mergeCell ref="H29:L29"/>
    <mergeCell ref="M28:O28"/>
    <mergeCell ref="P38:R38"/>
    <mergeCell ref="H32:L32"/>
    <mergeCell ref="M29:O29"/>
    <mergeCell ref="P37:R37"/>
    <mergeCell ref="P30:R30"/>
    <mergeCell ref="P28:R28"/>
    <mergeCell ref="H31:L31"/>
    <mergeCell ref="M30:O30"/>
    <mergeCell ref="V19:X19"/>
    <mergeCell ref="AB21:AD21"/>
    <mergeCell ref="P29:R29"/>
    <mergeCell ref="H24:L24"/>
    <mergeCell ref="S21:U21"/>
    <mergeCell ref="S25:U25"/>
    <mergeCell ref="S23:U23"/>
    <mergeCell ref="M23:O23"/>
    <mergeCell ref="M20:O20"/>
    <mergeCell ref="AB20:AD20"/>
    <mergeCell ref="AE19:AG19"/>
    <mergeCell ref="Y24:AA24"/>
    <mergeCell ref="Y25:AA25"/>
    <mergeCell ref="Y26:AA26"/>
    <mergeCell ref="AE26:AG26"/>
    <mergeCell ref="Y19:AA19"/>
    <mergeCell ref="AB23:AD23"/>
    <mergeCell ref="N16:O16"/>
    <mergeCell ref="P20:R20"/>
    <mergeCell ref="M14:O14"/>
    <mergeCell ref="N17:O17"/>
    <mergeCell ref="P14:R14"/>
    <mergeCell ref="S18:U18"/>
    <mergeCell ref="S14:U14"/>
    <mergeCell ref="S15:U15"/>
    <mergeCell ref="M18:O18"/>
    <mergeCell ref="Q17:R17"/>
    <mergeCell ref="AE38:AG38"/>
    <mergeCell ref="Y41:AA41"/>
    <mergeCell ref="AB38:AD38"/>
    <mergeCell ref="Y38:AA38"/>
    <mergeCell ref="S38:U38"/>
    <mergeCell ref="Y40:AA40"/>
    <mergeCell ref="AB41:AD41"/>
    <mergeCell ref="AE40:AG40"/>
    <mergeCell ref="AB40:AD40"/>
    <mergeCell ref="V41:X41"/>
    <mergeCell ref="AI19:AK19"/>
    <mergeCell ref="AI17:AK17"/>
    <mergeCell ref="Y28:AA28"/>
    <mergeCell ref="AB28:AD28"/>
    <mergeCell ref="A13:G13"/>
    <mergeCell ref="P15:R15"/>
    <mergeCell ref="B28:G28"/>
    <mergeCell ref="P26:R26"/>
    <mergeCell ref="P25:R25"/>
    <mergeCell ref="T17:U17"/>
    <mergeCell ref="AI18:AK18"/>
    <mergeCell ref="AF17:AG17"/>
    <mergeCell ref="H15:L15"/>
    <mergeCell ref="M11:O11"/>
    <mergeCell ref="AE18:AG18"/>
    <mergeCell ref="AE14:AG14"/>
    <mergeCell ref="AE11:AG11"/>
    <mergeCell ref="H11:L11"/>
    <mergeCell ref="M15:O15"/>
    <mergeCell ref="P18:R18"/>
    <mergeCell ref="M13:O13"/>
    <mergeCell ref="AB11:AD11"/>
    <mergeCell ref="Y11:AA11"/>
    <mergeCell ref="V13:X13"/>
    <mergeCell ref="P13:R13"/>
    <mergeCell ref="AE13:AG13"/>
    <mergeCell ref="Y13:AA13"/>
    <mergeCell ref="S12:U12"/>
    <mergeCell ref="V12:X12"/>
    <mergeCell ref="Y12:AA12"/>
    <mergeCell ref="H3:AD3"/>
    <mergeCell ref="A4:AK4"/>
    <mergeCell ref="V14:X14"/>
    <mergeCell ref="Y14:AA14"/>
    <mergeCell ref="H13:L13"/>
    <mergeCell ref="AE37:AG37"/>
    <mergeCell ref="V26:X26"/>
    <mergeCell ref="H14:L14"/>
    <mergeCell ref="AB13:AD13"/>
    <mergeCell ref="S11:U11"/>
    <mergeCell ref="AE30:AG30"/>
    <mergeCell ref="V28:X28"/>
    <mergeCell ref="V31:X31"/>
    <mergeCell ref="AE29:AG29"/>
    <mergeCell ref="AB32:AD32"/>
    <mergeCell ref="AE32:AG32"/>
    <mergeCell ref="AB29:AD29"/>
    <mergeCell ref="V32:X32"/>
    <mergeCell ref="AE28:AG28"/>
    <mergeCell ref="AB37:AD37"/>
    <mergeCell ref="Y30:AA30"/>
    <mergeCell ref="AB19:AD19"/>
    <mergeCell ref="S30:U30"/>
    <mergeCell ref="V30:X30"/>
    <mergeCell ref="Y29:AA29"/>
    <mergeCell ref="Y31:AA31"/>
    <mergeCell ref="Y37:AA37"/>
    <mergeCell ref="S24:U24"/>
    <mergeCell ref="Y23:AA23"/>
    <mergeCell ref="M25:O25"/>
    <mergeCell ref="P32:R32"/>
    <mergeCell ref="P31:R31"/>
    <mergeCell ref="Y32:AA32"/>
    <mergeCell ref="AB26:AD26"/>
    <mergeCell ref="AB25:AD25"/>
    <mergeCell ref="M31:O31"/>
    <mergeCell ref="S29:U29"/>
    <mergeCell ref="V29:X29"/>
    <mergeCell ref="V25:X25"/>
    <mergeCell ref="H21:L21"/>
    <mergeCell ref="H28:L28"/>
    <mergeCell ref="P19:R19"/>
    <mergeCell ref="P23:R23"/>
    <mergeCell ref="M19:O19"/>
    <mergeCell ref="H20:L20"/>
    <mergeCell ref="M24:O24"/>
    <mergeCell ref="H26:L26"/>
    <mergeCell ref="M21:O21"/>
    <mergeCell ref="H25:L25"/>
    <mergeCell ref="Q16:R16"/>
    <mergeCell ref="V18:X18"/>
    <mergeCell ref="P24:R24"/>
    <mergeCell ref="W17:X17"/>
    <mergeCell ref="T16:U16"/>
    <mergeCell ref="S20:U20"/>
    <mergeCell ref="V21:X21"/>
    <mergeCell ref="P21:R21"/>
    <mergeCell ref="V20:X20"/>
    <mergeCell ref="V23:X23"/>
    <mergeCell ref="V24:X24"/>
    <mergeCell ref="S46:U46"/>
    <mergeCell ref="V46:X46"/>
    <mergeCell ref="Y46:AA46"/>
    <mergeCell ref="V43:X43"/>
    <mergeCell ref="S26:U26"/>
    <mergeCell ref="S32:U32"/>
    <mergeCell ref="S31:U31"/>
    <mergeCell ref="V37:X37"/>
    <mergeCell ref="S37:U37"/>
    <mergeCell ref="S28:U28"/>
    <mergeCell ref="P46:R46"/>
    <mergeCell ref="M37:O37"/>
    <mergeCell ref="M38:O38"/>
    <mergeCell ref="V47:X47"/>
    <mergeCell ref="S39:U39"/>
    <mergeCell ref="V39:X39"/>
    <mergeCell ref="P33:R33"/>
    <mergeCell ref="M33:O33"/>
    <mergeCell ref="Y39:AA39"/>
    <mergeCell ref="Y43:AA43"/>
    <mergeCell ref="S40:U40"/>
    <mergeCell ref="M32:O32"/>
    <mergeCell ref="H30:L30"/>
    <mergeCell ref="V38:X38"/>
    <mergeCell ref="C38:L38"/>
    <mergeCell ref="S43:U43"/>
    <mergeCell ref="V33:X33"/>
    <mergeCell ref="S33:U33"/>
    <mergeCell ref="B47:L47"/>
    <mergeCell ref="B46:L46"/>
    <mergeCell ref="A44:G44"/>
    <mergeCell ref="H44:L44"/>
    <mergeCell ref="C37:L37"/>
    <mergeCell ref="S47:U47"/>
    <mergeCell ref="M40:O40"/>
    <mergeCell ref="A41:L41"/>
    <mergeCell ref="AI21:AK21"/>
    <mergeCell ref="AI25:AK25"/>
    <mergeCell ref="AI23:AK23"/>
    <mergeCell ref="Y21:AA21"/>
    <mergeCell ref="AE20:AG20"/>
    <mergeCell ref="AI20:AK20"/>
    <mergeCell ref="Y20:AA20"/>
    <mergeCell ref="AI24:AK24"/>
    <mergeCell ref="AE24:AG24"/>
    <mergeCell ref="AB24:AD24"/>
    <mergeCell ref="AI26:AK26"/>
    <mergeCell ref="AE21:AG21"/>
    <mergeCell ref="AI31:AK31"/>
    <mergeCell ref="AE31:AG31"/>
    <mergeCell ref="AB31:AD31"/>
    <mergeCell ref="AI29:AK29"/>
    <mergeCell ref="AE25:AG25"/>
    <mergeCell ref="AE23:AG23"/>
    <mergeCell ref="AI30:AK30"/>
    <mergeCell ref="AI28:AK28"/>
    <mergeCell ref="AE10:AG10"/>
    <mergeCell ref="AB10:AD10"/>
    <mergeCell ref="Y10:AA10"/>
    <mergeCell ref="V10:X10"/>
    <mergeCell ref="S10:U10"/>
    <mergeCell ref="P10:R10"/>
    <mergeCell ref="AI11:AK11"/>
    <mergeCell ref="A8:F8"/>
    <mergeCell ref="A9:F9"/>
    <mergeCell ref="G8:L8"/>
    <mergeCell ref="G9:L9"/>
    <mergeCell ref="M12:O12"/>
    <mergeCell ref="P12:R12"/>
    <mergeCell ref="M10:O10"/>
    <mergeCell ref="P11:R11"/>
    <mergeCell ref="M8:AK9"/>
    <mergeCell ref="AI41:AK41"/>
    <mergeCell ref="AI40:AK40"/>
    <mergeCell ref="M41:O41"/>
    <mergeCell ref="S41:U41"/>
    <mergeCell ref="AI33:AK33"/>
    <mergeCell ref="A34:AK34"/>
    <mergeCell ref="B33:L33"/>
    <mergeCell ref="AE33:AG33"/>
    <mergeCell ref="AB33:AD33"/>
    <mergeCell ref="Y33:AA33"/>
  </mergeCells>
  <dataValidations count="2">
    <dataValidation allowBlank="1" showErrorMessage="1" sqref="T32:U32 C19:G19 C22:C27 C20 Q32:R32 N32:O32 AJ22:AK32 AF11:AG11 AC11:AD11 Z11:AA11 W11:X11 T11:U11 Q11:R11 N11:O11 N13:O19 P10:P33 AB10:AB33 AE10:AE33 S10:S33 AF13:AG19 D22:L22 V10:V33 D27:L27 Q1:Q4 H10:L18 Q13:R19 M1:M8 N25:O30 AJ10:AK20 AC13:AD19 Z13:AA19 W13:X19 T13:U19 Q25:R30 T25:U30 W25:X30 Z25:AA30 AC25:AD30 D25:G25 AF25:AG30 C10:F18 Y10:Y33 A1:A27 B10:B33 B1:F7 G1:G18 H1:L7 N1:P6 R1:AK6 M10:M33 AF21:AG23 AC21:AD23 Z21:AA23 W21:X23 T21:U23 Q21:R23 N21:O23 AH10:AI33 AL1:IV65536 AF32:AG32 AC32:AD32 Z32:AA32 W32:X32 A29:A65536 N42:O65536 C35:L39 B42:L65536 AF35:AG39 AC35:AD39 Z35:AA39 W35:X39 T35:U39 Q35:R39 M35:M65536 AJ42:AK65536 N35:O39 B35:B40 AH35:AI65536 AJ35:AK39 AF42:AG65536 Q42:R65536 T42:U65536 W42:X65536 Z42:AA65536 AC42:AD65536 AE35:AE65536 AB35:AB65536 Y35:Y65536 V35:V65536 S35:S65536 P35:P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1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34</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58">
        <v>15</v>
      </c>
      <c r="N10" s="485"/>
      <c r="O10" s="485"/>
      <c r="P10" s="558">
        <v>16</v>
      </c>
      <c r="Q10" s="485"/>
      <c r="R10" s="485"/>
      <c r="S10" s="558">
        <v>17</v>
      </c>
      <c r="T10" s="485"/>
      <c r="U10" s="485"/>
      <c r="V10" s="558">
        <v>18</v>
      </c>
      <c r="W10" s="485"/>
      <c r="X10" s="485"/>
      <c r="Y10" s="558">
        <v>19</v>
      </c>
      <c r="Z10" s="485"/>
      <c r="AA10" s="485"/>
      <c r="AB10" s="558">
        <v>20</v>
      </c>
      <c r="AC10" s="485"/>
      <c r="AD10" s="485"/>
      <c r="AE10" s="558">
        <v>21</v>
      </c>
      <c r="AF10" s="485"/>
      <c r="AG10" s="485"/>
      <c r="AH10" s="56"/>
      <c r="AI10" s="56"/>
      <c r="AJ10" s="56"/>
      <c r="AK10" s="57"/>
      <c r="AL10" s="10" t="s">
        <v>24</v>
      </c>
    </row>
    <row r="11" spans="1:38" ht="12" customHeight="1">
      <c r="A11" s="85"/>
      <c r="B11" s="84"/>
      <c r="C11" s="84"/>
      <c r="D11" s="84"/>
      <c r="E11" s="84"/>
      <c r="F11" s="84"/>
      <c r="G11" s="84"/>
      <c r="H11" s="470" t="s">
        <v>48</v>
      </c>
      <c r="I11" s="470"/>
      <c r="J11" s="470"/>
      <c r="K11" s="470"/>
      <c r="L11" s="471"/>
      <c r="M11" s="622">
        <f>IF(M10&lt;='Per Diem Calc Tool'!$O$7+1,'Week 2'!AE11+1,"")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50"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L35" s="12"/>
      <c r="AM35" s="12"/>
      <c r="AN35" s="12"/>
      <c r="AO35" s="261"/>
      <c r="AP35" s="262" t="s">
        <v>60</v>
      </c>
      <c r="AQ35" s="262" t="s">
        <v>61</v>
      </c>
      <c r="AR35" s="262" t="s">
        <v>62</v>
      </c>
      <c r="AS35" s="262" t="s">
        <v>63</v>
      </c>
      <c r="AT35" s="262" t="s">
        <v>64</v>
      </c>
      <c r="AU35" s="262" t="s">
        <v>65</v>
      </c>
      <c r="AV35" s="262" t="s">
        <v>66</v>
      </c>
      <c r="AW35" s="12"/>
      <c r="AX35" s="12"/>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210</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17">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35</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2.75" customHeight="1" hidden="1">
      <c r="A10" s="61"/>
      <c r="B10" s="62"/>
      <c r="C10" s="62"/>
      <c r="D10" s="62"/>
      <c r="E10" s="62"/>
      <c r="F10" s="62"/>
      <c r="G10" s="62"/>
      <c r="H10" s="62"/>
      <c r="I10" s="62"/>
      <c r="J10" s="62"/>
      <c r="K10" s="62"/>
      <c r="L10" s="63"/>
      <c r="M10" s="620">
        <v>22</v>
      </c>
      <c r="N10" s="621"/>
      <c r="O10" s="621"/>
      <c r="P10" s="620">
        <v>23</v>
      </c>
      <c r="Q10" s="621"/>
      <c r="R10" s="621"/>
      <c r="S10" s="620">
        <v>24</v>
      </c>
      <c r="T10" s="621"/>
      <c r="U10" s="621"/>
      <c r="V10" s="620">
        <v>25</v>
      </c>
      <c r="W10" s="621"/>
      <c r="X10" s="621"/>
      <c r="Y10" s="620">
        <v>26</v>
      </c>
      <c r="Z10" s="621"/>
      <c r="AA10" s="621"/>
      <c r="AB10" s="620">
        <v>27</v>
      </c>
      <c r="AC10" s="621"/>
      <c r="AD10" s="621"/>
      <c r="AE10" s="620">
        <v>28</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3'!AE11+1,"")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263"/>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264"/>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264"/>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8">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51</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58">
        <v>29</v>
      </c>
      <c r="N10" s="485"/>
      <c r="O10" s="485"/>
      <c r="P10" s="558">
        <v>30</v>
      </c>
      <c r="Q10" s="485"/>
      <c r="R10" s="485"/>
      <c r="S10" s="558">
        <v>31</v>
      </c>
      <c r="T10" s="485"/>
      <c r="U10" s="485"/>
      <c r="V10" s="558">
        <v>32</v>
      </c>
      <c r="W10" s="485"/>
      <c r="X10" s="485"/>
      <c r="Y10" s="558">
        <v>33</v>
      </c>
      <c r="Z10" s="485"/>
      <c r="AA10" s="485"/>
      <c r="AB10" s="558">
        <v>34</v>
      </c>
      <c r="AC10" s="485"/>
      <c r="AD10" s="485"/>
      <c r="AE10" s="558">
        <v>35</v>
      </c>
      <c r="AF10" s="485"/>
      <c r="AG10" s="485"/>
      <c r="AH10" s="56"/>
      <c r="AI10" s="56"/>
      <c r="AJ10" s="56"/>
      <c r="AK10" s="57"/>
      <c r="AL10" s="10" t="s">
        <v>24</v>
      </c>
    </row>
    <row r="11" spans="1:38" ht="12" customHeight="1">
      <c r="A11" s="85"/>
      <c r="B11" s="84"/>
      <c r="C11" s="84"/>
      <c r="D11" s="84"/>
      <c r="E11" s="84"/>
      <c r="F11" s="84"/>
      <c r="G11" s="84"/>
      <c r="H11" s="470" t="s">
        <v>48</v>
      </c>
      <c r="I11" s="470"/>
      <c r="J11" s="470"/>
      <c r="K11" s="470"/>
      <c r="L11" s="471"/>
      <c r="M11" s="622">
        <f>IF(M10&lt;='Per Diem Calc Tool'!$O$7+1,'Week 4'!AE11+1,"")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65"/>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686"/>
      <c r="I21" s="687"/>
      <c r="J21" s="687"/>
      <c r="K21" s="687"/>
      <c r="L21" s="688"/>
      <c r="M21" s="636"/>
      <c r="N21" s="636"/>
      <c r="O21" s="636"/>
      <c r="P21" s="636"/>
      <c r="Q21" s="636"/>
      <c r="R21" s="636"/>
      <c r="S21" s="636"/>
      <c r="T21" s="636"/>
      <c r="U21" s="636"/>
      <c r="V21" s="636"/>
      <c r="W21" s="636"/>
      <c r="X21" s="636"/>
      <c r="Y21" s="636"/>
      <c r="Z21" s="636"/>
      <c r="AA21" s="636"/>
      <c r="AB21" s="636"/>
      <c r="AC21" s="636"/>
      <c r="AD21" s="636"/>
      <c r="AE21" s="636"/>
      <c r="AF21" s="636"/>
      <c r="AG21" s="685"/>
      <c r="AH21" s="265"/>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19">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50</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0.5" customHeight="1" hidden="1">
      <c r="A10" s="61"/>
      <c r="B10" s="62"/>
      <c r="C10" s="62"/>
      <c r="D10" s="62"/>
      <c r="E10" s="62"/>
      <c r="F10" s="62"/>
      <c r="G10" s="62"/>
      <c r="H10" s="62"/>
      <c r="I10" s="62"/>
      <c r="J10" s="62"/>
      <c r="K10" s="62"/>
      <c r="L10" s="63"/>
      <c r="M10" s="620">
        <v>36</v>
      </c>
      <c r="N10" s="621"/>
      <c r="O10" s="621"/>
      <c r="P10" s="620">
        <v>37</v>
      </c>
      <c r="Q10" s="621"/>
      <c r="R10" s="621"/>
      <c r="S10" s="620">
        <v>38</v>
      </c>
      <c r="T10" s="621"/>
      <c r="U10" s="621"/>
      <c r="V10" s="620">
        <v>39</v>
      </c>
      <c r="W10" s="621"/>
      <c r="X10" s="621"/>
      <c r="Y10" s="620">
        <v>40</v>
      </c>
      <c r="Z10" s="621"/>
      <c r="AA10" s="621"/>
      <c r="AB10" s="620">
        <v>41</v>
      </c>
      <c r="AC10" s="621"/>
      <c r="AD10" s="621"/>
      <c r="AE10" s="620">
        <v>42</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5'!AE11+1,"")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20">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49</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9.5" customHeight="1" hidden="1">
      <c r="A10" s="61"/>
      <c r="B10" s="62"/>
      <c r="C10" s="62"/>
      <c r="D10" s="62"/>
      <c r="E10" s="62"/>
      <c r="F10" s="62"/>
      <c r="G10" s="62"/>
      <c r="H10" s="62"/>
      <c r="I10" s="62"/>
      <c r="J10" s="62"/>
      <c r="K10" s="62"/>
      <c r="L10" s="63"/>
      <c r="M10" s="558">
        <v>43</v>
      </c>
      <c r="N10" s="485"/>
      <c r="O10" s="485"/>
      <c r="P10" s="558">
        <v>44</v>
      </c>
      <c r="Q10" s="485"/>
      <c r="R10" s="485"/>
      <c r="S10" s="558">
        <v>45</v>
      </c>
      <c r="T10" s="485"/>
      <c r="U10" s="485"/>
      <c r="V10" s="558">
        <v>46</v>
      </c>
      <c r="W10" s="485"/>
      <c r="X10" s="485"/>
      <c r="Y10" s="558">
        <v>47</v>
      </c>
      <c r="Z10" s="485"/>
      <c r="AA10" s="485"/>
      <c r="AB10" s="558">
        <v>48</v>
      </c>
      <c r="AC10" s="485"/>
      <c r="AD10" s="485"/>
      <c r="AE10" s="558">
        <v>49</v>
      </c>
      <c r="AF10" s="485"/>
      <c r="AG10" s="485"/>
      <c r="AH10" s="56"/>
      <c r="AI10" s="56"/>
      <c r="AJ10" s="56"/>
      <c r="AK10" s="57"/>
      <c r="AL10" s="10" t="s">
        <v>24</v>
      </c>
    </row>
    <row r="11" spans="1:38" ht="12" customHeight="1">
      <c r="A11" s="85"/>
      <c r="B11" s="84"/>
      <c r="C11" s="84"/>
      <c r="D11" s="84"/>
      <c r="E11" s="84"/>
      <c r="F11" s="84"/>
      <c r="G11" s="84"/>
      <c r="H11" s="470" t="s">
        <v>48</v>
      </c>
      <c r="I11" s="470"/>
      <c r="J11" s="470"/>
      <c r="K11" s="470"/>
      <c r="L11" s="471"/>
      <c r="M11" s="622">
        <f>IF(M10&lt;='Per Diem Calc Tool'!$O$7+1,'Week 6'!AE11+1,"")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0"/>
      <c r="AI46" s="689">
        <f>-SUM(M46:AG46)</f>
        <v>0</v>
      </c>
      <c r="AJ46" s="689"/>
      <c r="AK46" s="689"/>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0"/>
      <c r="AI47" s="689">
        <f>-SUM(M47:AG47)</f>
        <v>0</v>
      </c>
      <c r="AJ47" s="689"/>
      <c r="AK47" s="689"/>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52</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35" t="s">
        <v>106</v>
      </c>
      <c r="B5" s="536"/>
      <c r="C5" s="537"/>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08" t="s">
        <v>19</v>
      </c>
      <c r="AC5" s="508"/>
      <c r="AD5" s="508"/>
      <c r="AE5" s="508"/>
      <c r="AF5" s="508"/>
      <c r="AG5" s="508"/>
      <c r="AH5" s="7"/>
      <c r="AI5" s="665" t="s">
        <v>56</v>
      </c>
      <c r="AJ5" s="665"/>
      <c r="AK5" s="665"/>
      <c r="AL5" s="663"/>
      <c r="AM5" s="664"/>
      <c r="AN5" s="664"/>
      <c r="AO5" s="664"/>
      <c r="AP5" s="664"/>
      <c r="AQ5" s="133"/>
      <c r="AR5" s="133"/>
      <c r="AS5" s="133"/>
    </row>
    <row r="6" spans="1:45" s="134" customFormat="1" ht="14.25" customHeight="1">
      <c r="A6" s="538"/>
      <c r="B6" s="539"/>
      <c r="C6" s="540"/>
      <c r="D6" s="670"/>
      <c r="E6" s="671"/>
      <c r="F6" s="671"/>
      <c r="G6" s="671"/>
      <c r="H6" s="671"/>
      <c r="I6" s="671"/>
      <c r="J6" s="671"/>
      <c r="K6" s="671"/>
      <c r="L6" s="671"/>
      <c r="M6" s="671"/>
      <c r="N6" s="671"/>
      <c r="O6" s="672"/>
      <c r="P6" s="548"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15" t="s">
        <v>20</v>
      </c>
      <c r="B7" s="673"/>
      <c r="C7" s="673"/>
      <c r="D7" s="674"/>
      <c r="E7" s="674"/>
      <c r="F7" s="674"/>
      <c r="G7" s="674"/>
      <c r="H7" s="674"/>
      <c r="I7" s="674"/>
      <c r="J7" s="674"/>
      <c r="K7" s="674"/>
      <c r="L7" s="675"/>
      <c r="M7" s="515"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20">
        <v>50</v>
      </c>
      <c r="N10" s="621"/>
      <c r="O10" s="621"/>
      <c r="P10" s="620">
        <v>51</v>
      </c>
      <c r="Q10" s="621"/>
      <c r="R10" s="621"/>
      <c r="S10" s="620">
        <v>52</v>
      </c>
      <c r="T10" s="621"/>
      <c r="U10" s="621"/>
      <c r="V10" s="620">
        <v>53</v>
      </c>
      <c r="W10" s="621"/>
      <c r="X10" s="621"/>
      <c r="Y10" s="620">
        <v>54</v>
      </c>
      <c r="Z10" s="621"/>
      <c r="AA10" s="621"/>
      <c r="AB10" s="620">
        <v>55</v>
      </c>
      <c r="AC10" s="621"/>
      <c r="AD10" s="621"/>
      <c r="AE10" s="620">
        <v>56</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7'!AE11+1,"")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1">
        <f>M11</f>
      </c>
      <c r="N12" s="492"/>
      <c r="O12" s="493"/>
      <c r="P12" s="491">
        <f>P11</f>
      </c>
      <c r="Q12" s="492"/>
      <c r="R12" s="493"/>
      <c r="S12" s="491">
        <f>S11</f>
      </c>
      <c r="T12" s="492"/>
      <c r="U12" s="493"/>
      <c r="V12" s="491">
        <f>V11</f>
      </c>
      <c r="W12" s="492"/>
      <c r="X12" s="493"/>
      <c r="Y12" s="491">
        <f>Y11</f>
      </c>
      <c r="Z12" s="492"/>
      <c r="AA12" s="493"/>
      <c r="AB12" s="491">
        <f>AB11</f>
      </c>
      <c r="AC12" s="492"/>
      <c r="AD12" s="493"/>
      <c r="AE12" s="491">
        <f>AE11</f>
      </c>
      <c r="AF12" s="492"/>
      <c r="AG12" s="493"/>
      <c r="AH12" s="91"/>
      <c r="AI12" s="145"/>
      <c r="AJ12" s="146"/>
      <c r="AK12" s="147"/>
    </row>
    <row r="13" spans="1:38" ht="12" customHeight="1">
      <c r="A13" s="555" t="str">
        <f>'Week 1'!A13:G13</f>
        <v>Transportation:</v>
      </c>
      <c r="B13" s="556"/>
      <c r="C13" s="556"/>
      <c r="D13" s="556"/>
      <c r="E13" s="556"/>
      <c r="F13" s="556"/>
      <c r="G13" s="557"/>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266" t="s">
        <v>46</v>
      </c>
      <c r="N16" s="690" t="s">
        <v>47</v>
      </c>
      <c r="O16" s="690"/>
      <c r="P16" s="266" t="s">
        <v>46</v>
      </c>
      <c r="Q16" s="690" t="s">
        <v>47</v>
      </c>
      <c r="R16" s="690"/>
      <c r="S16" s="266" t="s">
        <v>46</v>
      </c>
      <c r="T16" s="690" t="s">
        <v>47</v>
      </c>
      <c r="U16" s="690"/>
      <c r="V16" s="266" t="s">
        <v>46</v>
      </c>
      <c r="W16" s="690" t="s">
        <v>47</v>
      </c>
      <c r="X16" s="690"/>
      <c r="Y16" s="266" t="s">
        <v>46</v>
      </c>
      <c r="Z16" s="690" t="s">
        <v>47</v>
      </c>
      <c r="AA16" s="690"/>
      <c r="AB16" s="266" t="s">
        <v>46</v>
      </c>
      <c r="AC16" s="690" t="s">
        <v>47</v>
      </c>
      <c r="AD16" s="690"/>
      <c r="AE16" s="266" t="s">
        <v>46</v>
      </c>
      <c r="AF16" s="690" t="s">
        <v>47</v>
      </c>
      <c r="AG16" s="690"/>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59" t="str">
        <f>'Week 1'!K18:L18</f>
        <v>/mile</v>
      </c>
      <c r="L17" s="560"/>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9"/>
      <c r="I19" s="380"/>
      <c r="J19" s="380"/>
      <c r="K19" s="380"/>
      <c r="L19" s="381"/>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9"/>
      <c r="I20" s="380"/>
      <c r="J20" s="380"/>
      <c r="K20" s="380"/>
      <c r="L20" s="381"/>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14"/>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9"/>
      <c r="I23" s="380"/>
      <c r="J23" s="380"/>
      <c r="K23" s="380"/>
      <c r="L23" s="381"/>
      <c r="M23" s="375"/>
      <c r="N23" s="375"/>
      <c r="O23" s="375"/>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9"/>
      <c r="I24" s="380"/>
      <c r="J24" s="380"/>
      <c r="K24" s="380"/>
      <c r="L24" s="381"/>
      <c r="M24" s="594"/>
      <c r="N24" s="595"/>
      <c r="O24" s="596"/>
      <c r="P24" s="383"/>
      <c r="Q24" s="384"/>
      <c r="R24" s="385"/>
      <c r="S24" s="383"/>
      <c r="T24" s="384"/>
      <c r="U24" s="385"/>
      <c r="V24" s="383"/>
      <c r="W24" s="384"/>
      <c r="X24" s="385"/>
      <c r="Y24" s="383"/>
      <c r="Z24" s="384"/>
      <c r="AA24" s="385"/>
      <c r="AB24" s="383"/>
      <c r="AC24" s="384"/>
      <c r="AD24" s="385"/>
      <c r="AE24" s="383"/>
      <c r="AF24" s="384"/>
      <c r="AG24" s="534"/>
      <c r="AH24" s="220"/>
      <c r="AI24" s="353">
        <f>SUM(M24:AG24)</f>
        <v>0</v>
      </c>
      <c r="AJ24" s="353"/>
      <c r="AK24" s="353"/>
    </row>
    <row r="25" spans="1:50" ht="17.25" customHeight="1">
      <c r="A25" s="87"/>
      <c r="B25" s="4"/>
      <c r="C25" s="350" t="str">
        <f>'Week 1'!C26:G26</f>
        <v>Bus, rail, etc.</v>
      </c>
      <c r="D25" s="351"/>
      <c r="E25" s="351"/>
      <c r="F25" s="351"/>
      <c r="G25" s="352"/>
      <c r="H25" s="379"/>
      <c r="I25" s="380"/>
      <c r="J25" s="380"/>
      <c r="K25" s="380"/>
      <c r="L25" s="381"/>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9"/>
      <c r="I26" s="380"/>
      <c r="J26" s="380"/>
      <c r="K26" s="380"/>
      <c r="L26" s="381"/>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9"/>
      <c r="I28" s="380"/>
      <c r="J28" s="380"/>
      <c r="K28" s="380"/>
      <c r="L28" s="381"/>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80"/>
      <c r="I29" s="380"/>
      <c r="J29" s="380"/>
      <c r="K29" s="380"/>
      <c r="L29" s="381"/>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9"/>
      <c r="I30" s="380"/>
      <c r="J30" s="380"/>
      <c r="K30" s="380"/>
      <c r="L30" s="381"/>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9"/>
      <c r="I31" s="380"/>
      <c r="J31" s="380"/>
      <c r="K31" s="380"/>
      <c r="L31" s="381"/>
      <c r="M31" s="383"/>
      <c r="N31" s="384"/>
      <c r="O31" s="385"/>
      <c r="P31" s="383"/>
      <c r="Q31" s="384"/>
      <c r="R31" s="385"/>
      <c r="S31" s="383"/>
      <c r="T31" s="384"/>
      <c r="U31" s="385"/>
      <c r="V31" s="383"/>
      <c r="W31" s="384"/>
      <c r="X31" s="385"/>
      <c r="Y31" s="383"/>
      <c r="Z31" s="384"/>
      <c r="AA31" s="385"/>
      <c r="AB31" s="383"/>
      <c r="AC31" s="384"/>
      <c r="AD31" s="385"/>
      <c r="AE31" s="383"/>
      <c r="AF31" s="384"/>
      <c r="AG31" s="534"/>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9"/>
      <c r="I32" s="380"/>
      <c r="J32" s="380"/>
      <c r="K32" s="380"/>
      <c r="L32" s="381"/>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34"/>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6"/>
      <c r="D37" s="377"/>
      <c r="E37" s="377"/>
      <c r="F37" s="377"/>
      <c r="G37" s="377"/>
      <c r="H37" s="377"/>
      <c r="I37" s="377"/>
      <c r="J37" s="377"/>
      <c r="K37" s="377"/>
      <c r="L37" s="378"/>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6"/>
      <c r="D38" s="377"/>
      <c r="E38" s="377"/>
      <c r="F38" s="377"/>
      <c r="G38" s="377"/>
      <c r="H38" s="377"/>
      <c r="I38" s="377"/>
      <c r="J38" s="377"/>
      <c r="K38" s="377"/>
      <c r="L38" s="378"/>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4"/>
      <c r="N42" s="455"/>
      <c r="O42" s="456"/>
      <c r="P42" s="454"/>
      <c r="Q42" s="455"/>
      <c r="R42" s="456"/>
      <c r="S42" s="454"/>
      <c r="T42" s="455"/>
      <c r="U42" s="456"/>
      <c r="V42" s="454"/>
      <c r="W42" s="455"/>
      <c r="X42" s="456"/>
      <c r="Y42" s="454"/>
      <c r="Z42" s="455"/>
      <c r="AA42" s="456"/>
      <c r="AB42" s="454"/>
      <c r="AC42" s="455"/>
      <c r="AD42" s="456"/>
      <c r="AE42" s="454"/>
      <c r="AF42" s="455"/>
      <c r="AG42" s="651"/>
      <c r="AH42" s="211"/>
      <c r="AI42" s="650" t="s">
        <v>71</v>
      </c>
      <c r="AJ42" s="423"/>
      <c r="AK42" s="424"/>
      <c r="AL42" s="64"/>
      <c r="AM42" s="138"/>
      <c r="AN42" s="138"/>
    </row>
    <row r="43" spans="1:37" ht="13.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3.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15"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M. Bowles</dc:creator>
  <cp:keywords/>
  <dc:description/>
  <cp:lastModifiedBy>Mary D. Williams</cp:lastModifiedBy>
  <cp:lastPrinted>2014-12-23T15:23:33Z</cp:lastPrinted>
  <dcterms:created xsi:type="dcterms:W3CDTF">2003-07-24T17:27:47Z</dcterms:created>
  <dcterms:modified xsi:type="dcterms:W3CDTF">2015-08-18T13:20:05Z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