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Enrollment by College\UG Enrollment no ghost\"/>
    </mc:Choice>
  </mc:AlternateContent>
  <bookViews>
    <workbookView xWindow="0" yWindow="0" windowWidth="20160" windowHeight="9045"/>
  </bookViews>
  <sheets>
    <sheet name="Enrollment by Undergrad Major" sheetId="1" r:id="rId1"/>
  </sheets>
  <definedNames>
    <definedName name="_a100000">#REF!</definedName>
    <definedName name="_a66000">#REF!</definedName>
    <definedName name="_a75000">#REF!</definedName>
    <definedName name="_xlnm.Print_Area" localSheetId="0">'Enrollment by Undergrad Major'!$D$1:$AA$372</definedName>
    <definedName name="_xlnm.Print_Titles" localSheetId="0">'Enrollment by Undergrad Major'!$1:$1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59" i="1" l="1"/>
  <c r="Z366" i="1"/>
  <c r="Z365" i="1"/>
  <c r="Z377" i="1"/>
  <c r="Z375" i="1"/>
  <c r="Z374" i="1"/>
  <c r="Z368" i="1"/>
  <c r="Z361" i="1"/>
  <c r="Z360" i="1"/>
  <c r="Z354" i="1"/>
  <c r="Z337" i="1"/>
  <c r="Z349" i="1"/>
  <c r="Z340" i="1"/>
  <c r="Z345" i="1" s="1"/>
  <c r="Z344" i="1"/>
  <c r="Z333" i="1"/>
  <c r="Z328" i="1"/>
  <c r="Z300" i="1"/>
  <c r="Z313" i="1" s="1"/>
  <c r="AA313" i="1" s="1"/>
  <c r="Z312" i="1"/>
  <c r="AA312" i="1"/>
  <c r="Z303" i="1"/>
  <c r="Z296" i="1"/>
  <c r="Z293" i="1"/>
  <c r="Z290" i="1"/>
  <c r="Z286" i="1"/>
  <c r="Z285" i="1"/>
  <c r="Z279" i="1"/>
  <c r="Z267" i="1"/>
  <c r="Z263" i="1"/>
  <c r="Z261" i="1"/>
  <c r="Z252" i="1"/>
  <c r="Z253" i="1"/>
  <c r="Z249" i="1"/>
  <c r="Z245" i="1"/>
  <c r="Z243" i="1"/>
  <c r="Z240" i="1"/>
  <c r="Z239" i="1"/>
  <c r="Z234" i="1"/>
  <c r="Z230" i="1"/>
  <c r="Z228" i="1"/>
  <c r="AB233" i="1"/>
  <c r="AC233" i="1"/>
  <c r="AA17" i="1" l="1"/>
  <c r="Y93" i="1" l="1"/>
  <c r="Y74" i="1"/>
  <c r="Z70" i="1"/>
  <c r="Y70" i="1"/>
  <c r="Z38" i="1"/>
  <c r="Y38" i="1"/>
  <c r="Y49" i="1"/>
  <c r="Z36" i="1"/>
  <c r="Y36" i="1"/>
  <c r="Z3" i="1"/>
  <c r="Z224" i="1"/>
  <c r="Z222" i="1"/>
  <c r="Z219" i="1"/>
  <c r="Z211" i="1"/>
  <c r="Z220" i="1" s="1"/>
  <c r="Z206" i="1"/>
  <c r="Z203" i="1"/>
  <c r="Z199" i="1"/>
  <c r="Z191" i="1"/>
  <c r="Z187" i="1"/>
  <c r="Z184" i="1"/>
  <c r="Z178" i="1"/>
  <c r="Z174" i="1"/>
  <c r="Z168" i="1"/>
  <c r="Z154" i="1"/>
  <c r="AA141" i="1"/>
  <c r="Z133" i="1"/>
  <c r="Z117" i="1"/>
  <c r="Z126" i="1"/>
  <c r="Z119" i="1"/>
  <c r="Y113" i="1"/>
  <c r="Z113" i="1"/>
  <c r="Z108" i="1"/>
  <c r="Z101" i="1"/>
  <c r="Z93" i="1"/>
  <c r="Z88" i="1"/>
  <c r="Z85" i="1"/>
  <c r="Z83" i="1"/>
  <c r="Z74" i="1"/>
  <c r="Z66" i="1"/>
  <c r="Z64" i="1"/>
  <c r="Y64" i="1"/>
  <c r="Z61" i="1"/>
  <c r="Z58" i="1"/>
  <c r="Z55" i="1"/>
  <c r="Z59" i="1" s="1"/>
  <c r="Y55" i="1"/>
  <c r="X55" i="1"/>
  <c r="Z49" i="1"/>
  <c r="Z41" i="1"/>
  <c r="Z50" i="1" s="1"/>
  <c r="Z25" i="1"/>
  <c r="Z22" i="1"/>
  <c r="AC21" i="1"/>
  <c r="AB21" i="1"/>
  <c r="AA21" i="1"/>
  <c r="AC20" i="1"/>
  <c r="AB20" i="1"/>
  <c r="AA20" i="1"/>
  <c r="Z170" i="1" l="1"/>
  <c r="Z127" i="1"/>
  <c r="Z207" i="1"/>
  <c r="Z71" i="1"/>
  <c r="Z26" i="1"/>
  <c r="Y337" i="1"/>
  <c r="X337" i="1"/>
  <c r="W337" i="1"/>
  <c r="V337" i="1"/>
  <c r="U337" i="1"/>
  <c r="T337" i="1"/>
  <c r="S337" i="1"/>
  <c r="R337" i="1"/>
  <c r="Q337" i="1"/>
  <c r="O337" i="1"/>
  <c r="N337" i="1"/>
  <c r="M337" i="1"/>
  <c r="L337" i="1"/>
  <c r="K337" i="1"/>
  <c r="J337" i="1"/>
  <c r="I337" i="1"/>
  <c r="H337" i="1"/>
  <c r="G337" i="1"/>
  <c r="P337" i="1"/>
  <c r="Z225" i="1" l="1"/>
  <c r="Y344" i="1"/>
  <c r="X344" i="1"/>
  <c r="AC376" i="1" l="1"/>
  <c r="AC373" i="1"/>
  <c r="AC372" i="1"/>
  <c r="AC371" i="1"/>
  <c r="AC370" i="1"/>
  <c r="AC369" i="1"/>
  <c r="AC367" i="1"/>
  <c r="AC364" i="1"/>
  <c r="AC363" i="1"/>
  <c r="AC362" i="1"/>
  <c r="AC358" i="1"/>
  <c r="AC357" i="1"/>
  <c r="AC356" i="1"/>
  <c r="AC355" i="1"/>
  <c r="AC353" i="1"/>
  <c r="AC352" i="1"/>
  <c r="AC351" i="1"/>
  <c r="AC350" i="1"/>
  <c r="AC347" i="1"/>
  <c r="AC346" i="1"/>
  <c r="AC342" i="1"/>
  <c r="AC341" i="1"/>
  <c r="AC336" i="1"/>
  <c r="AC335" i="1"/>
  <c r="AC339" i="1"/>
  <c r="AC338" i="1"/>
  <c r="AC332" i="1"/>
  <c r="AC331" i="1"/>
  <c r="AC330" i="1"/>
  <c r="AC329" i="1"/>
  <c r="AC334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1" i="1"/>
  <c r="AC310" i="1"/>
  <c r="AC309" i="1"/>
  <c r="AC308" i="1"/>
  <c r="AC307" i="1"/>
  <c r="AC306" i="1"/>
  <c r="AC305" i="1"/>
  <c r="AC304" i="1"/>
  <c r="AC302" i="1"/>
  <c r="AC301" i="1"/>
  <c r="AC299" i="1"/>
  <c r="AC298" i="1"/>
  <c r="AC297" i="1"/>
  <c r="AC295" i="1"/>
  <c r="AC294" i="1"/>
  <c r="AC292" i="1"/>
  <c r="AC291" i="1"/>
  <c r="AC289" i="1"/>
  <c r="AC288" i="1"/>
  <c r="AC287" i="1"/>
  <c r="AC284" i="1"/>
  <c r="AC283" i="1"/>
  <c r="AC282" i="1"/>
  <c r="AC281" i="1"/>
  <c r="AC280" i="1"/>
  <c r="AC278" i="1"/>
  <c r="AC277" i="1"/>
  <c r="AC276" i="1"/>
  <c r="AC275" i="1"/>
  <c r="AC274" i="1"/>
  <c r="AC273" i="1"/>
  <c r="AC271" i="1"/>
  <c r="AC270" i="1"/>
  <c r="AC269" i="1"/>
  <c r="AC268" i="1"/>
  <c r="AC266" i="1"/>
  <c r="AC265" i="1"/>
  <c r="AC264" i="1"/>
  <c r="AC262" i="1"/>
  <c r="AC260" i="1"/>
  <c r="AC259" i="1"/>
  <c r="AC258" i="1"/>
  <c r="AC257" i="1"/>
  <c r="AC256" i="1"/>
  <c r="AC251" i="1"/>
  <c r="AC250" i="1"/>
  <c r="AC248" i="1"/>
  <c r="AC247" i="1"/>
  <c r="AC246" i="1"/>
  <c r="AC244" i="1"/>
  <c r="AC242" i="1"/>
  <c r="AC241" i="1"/>
  <c r="AC238" i="1"/>
  <c r="AC237" i="1"/>
  <c r="AC236" i="1"/>
  <c r="AC235" i="1"/>
  <c r="AC232" i="1"/>
  <c r="AC231" i="1"/>
  <c r="AC229" i="1"/>
  <c r="AC227" i="1"/>
  <c r="AC226" i="1"/>
  <c r="AC223" i="1"/>
  <c r="AC221" i="1"/>
  <c r="AC218" i="1"/>
  <c r="AC217" i="1"/>
  <c r="AC216" i="1"/>
  <c r="AC215" i="1"/>
  <c r="AC214" i="1"/>
  <c r="AC213" i="1"/>
  <c r="AC212" i="1"/>
  <c r="AC210" i="1"/>
  <c r="AC209" i="1"/>
  <c r="AC208" i="1"/>
  <c r="AC205" i="1"/>
  <c r="AC204" i="1"/>
  <c r="AC202" i="1"/>
  <c r="AC201" i="1"/>
  <c r="AC200" i="1"/>
  <c r="AC198" i="1"/>
  <c r="AC197" i="1"/>
  <c r="AC196" i="1"/>
  <c r="AC195" i="1"/>
  <c r="AC194" i="1"/>
  <c r="AC193" i="1"/>
  <c r="AC192" i="1"/>
  <c r="AC190" i="1"/>
  <c r="AC189" i="1"/>
  <c r="AC188" i="1"/>
  <c r="AC186" i="1"/>
  <c r="AC185" i="1"/>
  <c r="AC183" i="1"/>
  <c r="AC182" i="1"/>
  <c r="AC181" i="1"/>
  <c r="AC180" i="1"/>
  <c r="AC179" i="1"/>
  <c r="AC177" i="1"/>
  <c r="AC176" i="1"/>
  <c r="AC175" i="1"/>
  <c r="AC173" i="1"/>
  <c r="AC172" i="1"/>
  <c r="AC171" i="1"/>
  <c r="AC169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0" i="1"/>
  <c r="AC139" i="1"/>
  <c r="AC138" i="1"/>
  <c r="AC137" i="1"/>
  <c r="AC136" i="1"/>
  <c r="AC135" i="1"/>
  <c r="AC134" i="1"/>
  <c r="AC130" i="1"/>
  <c r="AC129" i="1"/>
  <c r="AC128" i="1"/>
  <c r="AC125" i="1"/>
  <c r="AC124" i="1"/>
  <c r="AC123" i="1"/>
  <c r="AC122" i="1"/>
  <c r="AC121" i="1"/>
  <c r="AC120" i="1"/>
  <c r="AC118" i="1"/>
  <c r="AC116" i="1"/>
  <c r="AC115" i="1"/>
  <c r="AC114" i="1"/>
  <c r="AC112" i="1"/>
  <c r="AC111" i="1"/>
  <c r="AC110" i="1"/>
  <c r="AC109" i="1"/>
  <c r="AC107" i="1"/>
  <c r="AC106" i="1"/>
  <c r="AC105" i="1"/>
  <c r="AC104" i="1"/>
  <c r="AC103" i="1"/>
  <c r="AC102" i="1"/>
  <c r="AC100" i="1"/>
  <c r="AC99" i="1"/>
  <c r="AC98" i="1"/>
  <c r="AC97" i="1"/>
  <c r="AC96" i="1"/>
  <c r="AC94" i="1"/>
  <c r="AC92" i="1"/>
  <c r="AC91" i="1"/>
  <c r="AC90" i="1"/>
  <c r="AC89" i="1"/>
  <c r="AC87" i="1"/>
  <c r="AC86" i="1"/>
  <c r="AC84" i="1"/>
  <c r="AC82" i="1"/>
  <c r="AC81" i="1"/>
  <c r="AC80" i="1"/>
  <c r="AC79" i="1"/>
  <c r="AC78" i="1"/>
  <c r="AC77" i="1"/>
  <c r="AC76" i="1"/>
  <c r="AC75" i="1"/>
  <c r="AC73" i="1"/>
  <c r="AC72" i="1"/>
  <c r="AC68" i="1"/>
  <c r="AC67" i="1"/>
  <c r="AC65" i="1"/>
  <c r="AC63" i="1"/>
  <c r="AC62" i="1"/>
  <c r="AC60" i="1"/>
  <c r="AC57" i="1"/>
  <c r="AC56" i="1"/>
  <c r="AC53" i="1"/>
  <c r="AC52" i="1"/>
  <c r="AC51" i="1"/>
  <c r="AC48" i="1"/>
  <c r="AC47" i="1"/>
  <c r="AC46" i="1"/>
  <c r="AC45" i="1"/>
  <c r="AC44" i="1"/>
  <c r="AC43" i="1"/>
  <c r="AC42" i="1"/>
  <c r="AC40" i="1"/>
  <c r="AC39" i="1"/>
  <c r="AC37" i="1"/>
  <c r="AC35" i="1"/>
  <c r="AC34" i="1"/>
  <c r="AC33" i="1"/>
  <c r="AC32" i="1"/>
  <c r="AC31" i="1"/>
  <c r="AC30" i="1"/>
  <c r="AC29" i="1"/>
  <c r="AC28" i="1"/>
  <c r="AC27" i="1"/>
  <c r="AC24" i="1"/>
  <c r="AC23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2" i="1"/>
  <c r="AB376" i="1"/>
  <c r="AB373" i="1"/>
  <c r="AB372" i="1"/>
  <c r="AB371" i="1"/>
  <c r="AB370" i="1"/>
  <c r="AB369" i="1"/>
  <c r="AB367" i="1"/>
  <c r="AB364" i="1"/>
  <c r="AB363" i="1"/>
  <c r="AB362" i="1"/>
  <c r="AB358" i="1"/>
  <c r="AB357" i="1"/>
  <c r="AB356" i="1"/>
  <c r="AB355" i="1"/>
  <c r="AB353" i="1"/>
  <c r="AB352" i="1"/>
  <c r="AB351" i="1"/>
  <c r="AB350" i="1"/>
  <c r="AB347" i="1"/>
  <c r="AB346" i="1"/>
  <c r="AB342" i="1"/>
  <c r="AB341" i="1"/>
  <c r="AB336" i="1"/>
  <c r="AB335" i="1"/>
  <c r="AB339" i="1"/>
  <c r="AB338" i="1"/>
  <c r="AB332" i="1"/>
  <c r="AB331" i="1"/>
  <c r="AB330" i="1"/>
  <c r="AB329" i="1"/>
  <c r="AB334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1" i="1"/>
  <c r="AB310" i="1"/>
  <c r="AB309" i="1"/>
  <c r="AB308" i="1"/>
  <c r="AB307" i="1"/>
  <c r="AB306" i="1"/>
  <c r="AB305" i="1"/>
  <c r="AB304" i="1"/>
  <c r="AB302" i="1"/>
  <c r="AB301" i="1"/>
  <c r="AB299" i="1"/>
  <c r="AB298" i="1"/>
  <c r="AB297" i="1"/>
  <c r="AB295" i="1"/>
  <c r="AB294" i="1"/>
  <c r="AB292" i="1"/>
  <c r="AB291" i="1"/>
  <c r="AB289" i="1"/>
  <c r="AA289" i="1"/>
  <c r="AB288" i="1" l="1"/>
  <c r="AB284" i="1"/>
  <c r="AB283" i="1"/>
  <c r="AB282" i="1"/>
  <c r="AB281" i="1"/>
  <c r="AB280" i="1"/>
  <c r="AB278" i="1"/>
  <c r="AB277" i="1"/>
  <c r="AB276" i="1"/>
  <c r="AB273" i="1"/>
  <c r="AB271" i="1"/>
  <c r="AB270" i="1"/>
  <c r="AB269" i="1"/>
  <c r="AB268" i="1"/>
  <c r="AB264" i="1"/>
  <c r="AB262" i="1"/>
  <c r="AB260" i="1"/>
  <c r="AB259" i="1"/>
  <c r="AB256" i="1"/>
  <c r="AB251" i="1"/>
  <c r="AB250" i="1"/>
  <c r="AB248" i="1"/>
  <c r="AB247" i="1"/>
  <c r="AB242" i="1"/>
  <c r="AB238" i="1"/>
  <c r="AB237" i="1"/>
  <c r="AB236" i="1"/>
  <c r="AB235" i="1"/>
  <c r="AB232" i="1"/>
  <c r="AB231" i="1"/>
  <c r="AB227" i="1"/>
  <c r="AB221" i="1"/>
  <c r="AB218" i="1"/>
  <c r="AB217" i="1"/>
  <c r="AB216" i="1"/>
  <c r="AB215" i="1"/>
  <c r="AB213" i="1"/>
  <c r="AB212" i="1"/>
  <c r="AB209" i="1"/>
  <c r="AB208" i="1"/>
  <c r="AB202" i="1"/>
  <c r="AB201" i="1"/>
  <c r="AB194" i="1"/>
  <c r="AB192" i="1"/>
  <c r="AB190" i="1"/>
  <c r="AB188" i="1"/>
  <c r="AB186" i="1"/>
  <c r="AB183" i="1"/>
  <c r="AB182" i="1"/>
  <c r="AB180" i="1"/>
  <c r="AB179" i="1"/>
  <c r="AB177" i="1"/>
  <c r="AB175" i="1"/>
  <c r="AB173" i="1"/>
  <c r="AB172" i="1"/>
  <c r="AB169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3" i="1"/>
  <c r="AB152" i="1"/>
  <c r="AB151" i="1"/>
  <c r="AB150" i="1"/>
  <c r="AB149" i="1"/>
  <c r="AB148" i="1"/>
  <c r="AB147" i="1"/>
  <c r="AB145" i="1"/>
  <c r="AB144" i="1"/>
  <c r="AB143" i="1"/>
  <c r="AB142" i="1"/>
  <c r="AB140" i="1"/>
  <c r="AB139" i="1"/>
  <c r="AB138" i="1"/>
  <c r="AB137" i="1"/>
  <c r="AB136" i="1"/>
  <c r="AB135" i="1"/>
  <c r="AB130" i="1"/>
  <c r="AB129" i="1"/>
  <c r="AB128" i="1"/>
  <c r="AB125" i="1"/>
  <c r="AB124" i="1"/>
  <c r="AB122" i="1"/>
  <c r="AB120" i="1"/>
  <c r="AB118" i="1"/>
  <c r="AB116" i="1"/>
  <c r="AB115" i="1"/>
  <c r="AB114" i="1"/>
  <c r="AB112" i="1"/>
  <c r="AB111" i="1"/>
  <c r="AB110" i="1"/>
  <c r="AB107" i="1"/>
  <c r="AB106" i="1"/>
  <c r="AB105" i="1"/>
  <c r="AB104" i="1"/>
  <c r="AB103" i="1"/>
  <c r="AB102" i="1"/>
  <c r="AB100" i="1"/>
  <c r="AB99" i="1"/>
  <c r="AB98" i="1"/>
  <c r="AB97" i="1"/>
  <c r="AB94" i="1"/>
  <c r="AB92" i="1"/>
  <c r="AB91" i="1"/>
  <c r="AB87" i="1"/>
  <c r="AB82" i="1"/>
  <c r="AB81" i="1"/>
  <c r="AB80" i="1"/>
  <c r="AB79" i="1"/>
  <c r="AB78" i="1"/>
  <c r="AB77" i="1"/>
  <c r="AB76" i="1"/>
  <c r="AB75" i="1"/>
  <c r="AB73" i="1"/>
  <c r="AB69" i="1"/>
  <c r="AB68" i="1"/>
  <c r="AB63" i="1"/>
  <c r="AB56" i="1"/>
  <c r="AB53" i="1"/>
  <c r="AB52" i="1"/>
  <c r="AB48" i="1"/>
  <c r="AB47" i="1"/>
  <c r="AB46" i="1"/>
  <c r="AB45" i="1"/>
  <c r="AB44" i="1"/>
  <c r="AB43" i="1"/>
  <c r="AB40" i="1"/>
  <c r="AB35" i="1"/>
  <c r="AB33" i="1"/>
  <c r="AB32" i="1"/>
  <c r="AB31" i="1"/>
  <c r="AB30" i="1"/>
  <c r="AB29" i="1"/>
  <c r="AB28" i="1"/>
  <c r="AB24" i="1"/>
  <c r="AB19" i="1"/>
  <c r="AB18" i="1"/>
  <c r="AB17" i="1"/>
  <c r="AB16" i="1"/>
  <c r="AB15" i="1"/>
  <c r="AB14" i="1"/>
  <c r="AB12" i="1"/>
  <c r="AB11" i="1"/>
  <c r="AB10" i="1"/>
  <c r="AB9" i="1"/>
  <c r="AB8" i="1"/>
  <c r="AB7" i="1"/>
  <c r="AB6" i="1"/>
  <c r="AB5" i="1"/>
  <c r="AA376" i="1"/>
  <c r="AA373" i="1"/>
  <c r="AA372" i="1"/>
  <c r="AA371" i="1"/>
  <c r="AA370" i="1"/>
  <c r="AA369" i="1"/>
  <c r="AA367" i="1"/>
  <c r="AA364" i="1"/>
  <c r="AA363" i="1"/>
  <c r="AA362" i="1"/>
  <c r="AA358" i="1"/>
  <c r="AA357" i="1"/>
  <c r="AA356" i="1"/>
  <c r="AA355" i="1"/>
  <c r="AA353" i="1"/>
  <c r="AA352" i="1"/>
  <c r="AA351" i="1"/>
  <c r="AA350" i="1"/>
  <c r="AA347" i="1"/>
  <c r="AA346" i="1"/>
  <c r="AA342" i="1"/>
  <c r="AA341" i="1"/>
  <c r="AA336" i="1"/>
  <c r="AA335" i="1"/>
  <c r="AA338" i="1"/>
  <c r="AA332" i="1"/>
  <c r="AA331" i="1"/>
  <c r="AA330" i="1"/>
  <c r="AA329" i="1"/>
  <c r="AA334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1" i="1"/>
  <c r="AA310" i="1"/>
  <c r="AA309" i="1"/>
  <c r="AA308" i="1"/>
  <c r="AA307" i="1"/>
  <c r="AA306" i="1"/>
  <c r="AA305" i="1"/>
  <c r="AA304" i="1"/>
  <c r="AA302" i="1"/>
  <c r="AA301" i="1"/>
  <c r="AA299" i="1"/>
  <c r="AA298" i="1"/>
  <c r="AA295" i="1"/>
  <c r="AA294" i="1"/>
  <c r="AA292" i="1"/>
  <c r="AA291" i="1"/>
  <c r="AA288" i="1"/>
  <c r="AA287" i="1"/>
  <c r="AA284" i="1"/>
  <c r="AA283" i="1"/>
  <c r="AA282" i="1"/>
  <c r="AA281" i="1"/>
  <c r="AA280" i="1"/>
  <c r="AA278" i="1"/>
  <c r="AA277" i="1"/>
  <c r="AA276" i="1"/>
  <c r="AA275" i="1"/>
  <c r="AA274" i="1"/>
  <c r="AA273" i="1"/>
  <c r="AA271" i="1"/>
  <c r="AA270" i="1"/>
  <c r="AA269" i="1"/>
  <c r="AA268" i="1"/>
  <c r="AA266" i="1"/>
  <c r="AA265" i="1"/>
  <c r="AA264" i="1"/>
  <c r="AA262" i="1"/>
  <c r="AA260" i="1"/>
  <c r="AA259" i="1"/>
  <c r="AA258" i="1"/>
  <c r="AA257" i="1"/>
  <c r="AA256" i="1"/>
  <c r="AA251" i="1"/>
  <c r="AA250" i="1"/>
  <c r="AA248" i="1"/>
  <c r="AA247" i="1"/>
  <c r="AA246" i="1"/>
  <c r="AA244" i="1"/>
  <c r="AA242" i="1"/>
  <c r="AA241" i="1"/>
  <c r="AA238" i="1"/>
  <c r="AA237" i="1"/>
  <c r="AA236" i="1"/>
  <c r="AA235" i="1"/>
  <c r="AA232" i="1"/>
  <c r="AA231" i="1"/>
  <c r="AA229" i="1"/>
  <c r="AA227" i="1"/>
  <c r="AA226" i="1"/>
  <c r="AA223" i="1"/>
  <c r="AA221" i="1"/>
  <c r="AA218" i="1"/>
  <c r="AA217" i="1"/>
  <c r="AA216" i="1"/>
  <c r="AA215" i="1"/>
  <c r="AA214" i="1"/>
  <c r="AA213" i="1"/>
  <c r="AA212" i="1"/>
  <c r="AA210" i="1"/>
  <c r="AA209" i="1"/>
  <c r="AA208" i="1"/>
  <c r="AA205" i="1"/>
  <c r="AA204" i="1"/>
  <c r="AA202" i="1"/>
  <c r="AA201" i="1"/>
  <c r="AA200" i="1"/>
  <c r="AA198" i="1"/>
  <c r="AA197" i="1"/>
  <c r="AA196" i="1"/>
  <c r="AA195" i="1"/>
  <c r="AA194" i="1"/>
  <c r="AA193" i="1"/>
  <c r="AA192" i="1"/>
  <c r="AA190" i="1"/>
  <c r="AA189" i="1"/>
  <c r="AA188" i="1"/>
  <c r="AA186" i="1"/>
  <c r="AA185" i="1"/>
  <c r="AA183" i="1"/>
  <c r="AA182" i="1"/>
  <c r="AA181" i="1"/>
  <c r="AA180" i="1"/>
  <c r="AA179" i="1"/>
  <c r="AA176" i="1"/>
  <c r="AA175" i="1"/>
  <c r="AA173" i="1"/>
  <c r="AA172" i="1"/>
  <c r="AA171" i="1"/>
  <c r="AA169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0" i="1"/>
  <c r="AA139" i="1"/>
  <c r="AA138" i="1"/>
  <c r="AA137" i="1"/>
  <c r="AA136" i="1"/>
  <c r="AA135" i="1"/>
  <c r="AA134" i="1"/>
  <c r="AA130" i="1"/>
  <c r="AA129" i="1"/>
  <c r="AA128" i="1"/>
  <c r="AA125" i="1"/>
  <c r="AA124" i="1"/>
  <c r="AA123" i="1"/>
  <c r="AA122" i="1"/>
  <c r="AA121" i="1"/>
  <c r="AA120" i="1"/>
  <c r="AA118" i="1"/>
  <c r="AA116" i="1"/>
  <c r="AA115" i="1"/>
  <c r="AA114" i="1"/>
  <c r="AA112" i="1"/>
  <c r="AA111" i="1"/>
  <c r="AA110" i="1"/>
  <c r="AA109" i="1"/>
  <c r="AA107" i="1"/>
  <c r="AA106" i="1"/>
  <c r="AA105" i="1"/>
  <c r="AA104" i="1"/>
  <c r="AA103" i="1"/>
  <c r="AA102" i="1"/>
  <c r="AA100" i="1"/>
  <c r="AA99" i="1"/>
  <c r="AA98" i="1"/>
  <c r="AA97" i="1"/>
  <c r="AA96" i="1"/>
  <c r="AA95" i="1"/>
  <c r="AA94" i="1"/>
  <c r="AA91" i="1"/>
  <c r="AA90" i="1"/>
  <c r="AA89" i="1"/>
  <c r="AA87" i="1"/>
  <c r="AA86" i="1"/>
  <c r="AA84" i="1"/>
  <c r="AA82" i="1"/>
  <c r="AA81" i="1"/>
  <c r="AA80" i="1"/>
  <c r="AA78" i="1"/>
  <c r="AA77" i="1"/>
  <c r="AA76" i="1"/>
  <c r="AA75" i="1"/>
  <c r="AA72" i="1"/>
  <c r="AA68" i="1"/>
  <c r="AA67" i="1"/>
  <c r="AA65" i="1"/>
  <c r="AA63" i="1"/>
  <c r="AA62" i="1"/>
  <c r="AA60" i="1"/>
  <c r="AA57" i="1"/>
  <c r="AA56" i="1"/>
  <c r="AA53" i="1"/>
  <c r="AA52" i="1"/>
  <c r="AA51" i="1"/>
  <c r="AA48" i="1"/>
  <c r="AA47" i="1"/>
  <c r="AA46" i="1"/>
  <c r="AA45" i="1"/>
  <c r="AA44" i="1"/>
  <c r="AA43" i="1"/>
  <c r="AA42" i="1"/>
  <c r="AA40" i="1"/>
  <c r="AA39" i="1"/>
  <c r="AA38" i="1"/>
  <c r="AA37" i="1"/>
  <c r="AA35" i="1"/>
  <c r="AA33" i="1"/>
  <c r="AA32" i="1"/>
  <c r="AA31" i="1"/>
  <c r="AA30" i="1"/>
  <c r="AA29" i="1"/>
  <c r="AA28" i="1"/>
  <c r="AA27" i="1"/>
  <c r="AA24" i="1"/>
  <c r="AA23" i="1"/>
  <c r="AA19" i="1"/>
  <c r="AA18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2" i="1"/>
  <c r="Y22" i="1" l="1"/>
  <c r="AA22" i="1" s="1"/>
  <c r="Y339" i="1"/>
  <c r="Y297" i="1"/>
  <c r="AA297" i="1" s="1"/>
  <c r="Y234" i="1"/>
  <c r="Y177" i="1"/>
  <c r="AA177" i="1" s="1"/>
  <c r="AA113" i="1"/>
  <c r="Y92" i="1"/>
  <c r="Y79" i="1"/>
  <c r="Y73" i="1"/>
  <c r="AA73" i="1" s="1"/>
  <c r="Y69" i="1"/>
  <c r="AA69" i="1" s="1"/>
  <c r="Y34" i="1"/>
  <c r="AA34" i="1" s="1"/>
  <c r="Y296" i="1"/>
  <c r="AA296" i="1" s="1"/>
  <c r="Y66" i="1"/>
  <c r="AA66" i="1" s="1"/>
  <c r="Y374" i="1"/>
  <c r="AA374" i="1" s="1"/>
  <c r="Y368" i="1"/>
  <c r="AA368" i="1" s="1"/>
  <c r="Y366" i="1"/>
  <c r="AA366" i="1" s="1"/>
  <c r="Y365" i="1"/>
  <c r="AA365" i="1" s="1"/>
  <c r="Y359" i="1"/>
  <c r="AA359" i="1" s="1"/>
  <c r="Y354" i="1"/>
  <c r="Y348" i="1"/>
  <c r="AA348" i="1" s="1"/>
  <c r="AA337" i="1"/>
  <c r="Y333" i="1"/>
  <c r="AA333" i="1" s="1"/>
  <c r="Y328" i="1"/>
  <c r="AA328" i="1" s="1"/>
  <c r="Y312" i="1"/>
  <c r="Y303" i="1"/>
  <c r="AA303" i="1" s="1"/>
  <c r="Y293" i="1"/>
  <c r="AA293" i="1" s="1"/>
  <c r="Y290" i="1"/>
  <c r="AA290" i="1" s="1"/>
  <c r="Y285" i="1"/>
  <c r="AA285" i="1" s="1"/>
  <c r="Y279" i="1"/>
  <c r="AA279" i="1" s="1"/>
  <c r="Y267" i="1"/>
  <c r="Y261" i="1"/>
  <c r="AA261" i="1" s="1"/>
  <c r="Y252" i="1"/>
  <c r="AA252" i="1" s="1"/>
  <c r="Y249" i="1"/>
  <c r="AA249" i="1" s="1"/>
  <c r="Y245" i="1"/>
  <c r="AA245" i="1" s="1"/>
  <c r="Y243" i="1"/>
  <c r="AA243" i="1" s="1"/>
  <c r="Y239" i="1"/>
  <c r="AA239" i="1" s="1"/>
  <c r="Y228" i="1"/>
  <c r="AA228" i="1" s="1"/>
  <c r="Y224" i="1"/>
  <c r="AA224" i="1" s="1"/>
  <c r="Y222" i="1"/>
  <c r="AA222" i="1" s="1"/>
  <c r="Y219" i="1"/>
  <c r="AA219" i="1" s="1"/>
  <c r="Y211" i="1"/>
  <c r="Y206" i="1"/>
  <c r="AA206" i="1" s="1"/>
  <c r="Y203" i="1"/>
  <c r="AA203" i="1" s="1"/>
  <c r="Y199" i="1"/>
  <c r="AA199" i="1" s="1"/>
  <c r="Y191" i="1"/>
  <c r="AA191" i="1" s="1"/>
  <c r="Y187" i="1"/>
  <c r="AA187" i="1" s="1"/>
  <c r="Y184" i="1"/>
  <c r="AA184" i="1" s="1"/>
  <c r="Y178" i="1"/>
  <c r="AA178" i="1" s="1"/>
  <c r="Y174" i="1"/>
  <c r="AA174" i="1" s="1"/>
  <c r="Y168" i="1"/>
  <c r="AA168" i="1" s="1"/>
  <c r="Y154" i="1"/>
  <c r="AA154" i="1" s="1"/>
  <c r="Y133" i="1"/>
  <c r="AA133" i="1" s="1"/>
  <c r="Y126" i="1"/>
  <c r="AA126" i="1" s="1"/>
  <c r="Y119" i="1"/>
  <c r="AA119" i="1" s="1"/>
  <c r="Y117" i="1"/>
  <c r="AA117" i="1" s="1"/>
  <c r="Y108" i="1"/>
  <c r="AA108" i="1" s="1"/>
  <c r="Y101" i="1"/>
  <c r="AA101" i="1" s="1"/>
  <c r="Y88" i="1"/>
  <c r="AA88" i="1" s="1"/>
  <c r="Y85" i="1"/>
  <c r="AA85" i="1" s="1"/>
  <c r="Y61" i="1"/>
  <c r="AA61" i="1" s="1"/>
  <c r="Y58" i="1"/>
  <c r="AA58" i="1" s="1"/>
  <c r="AA49" i="1"/>
  <c r="Y41" i="1"/>
  <c r="Y25" i="1"/>
  <c r="AA25" i="1" s="1"/>
  <c r="Y3" i="1"/>
  <c r="AA3" i="1" l="1"/>
  <c r="Y26" i="1"/>
  <c r="AA26" i="1" s="1"/>
  <c r="Y340" i="1"/>
  <c r="Y345" i="1" s="1"/>
  <c r="AA93" i="1"/>
  <c r="AA92" i="1"/>
  <c r="Y272" i="1"/>
  <c r="AA267" i="1"/>
  <c r="AA340" i="1"/>
  <c r="AA339" i="1"/>
  <c r="Y220" i="1"/>
  <c r="AA220" i="1" s="1"/>
  <c r="AA211" i="1"/>
  <c r="Y375" i="1"/>
  <c r="AA375" i="1" s="1"/>
  <c r="Y50" i="1"/>
  <c r="AA50" i="1" s="1"/>
  <c r="AA41" i="1"/>
  <c r="Y361" i="1"/>
  <c r="AA361" i="1" s="1"/>
  <c r="AA354" i="1"/>
  <c r="Y83" i="1"/>
  <c r="AA83" i="1" s="1"/>
  <c r="AA79" i="1"/>
  <c r="Y240" i="1"/>
  <c r="AA240" i="1" s="1"/>
  <c r="AA234" i="1"/>
  <c r="AA74" i="1"/>
  <c r="AA36" i="1"/>
  <c r="Y300" i="1"/>
  <c r="AA300" i="1" s="1"/>
  <c r="Y253" i="1"/>
  <c r="AA253" i="1" s="1"/>
  <c r="Y207" i="1"/>
  <c r="AA207" i="1" s="1"/>
  <c r="Y170" i="1"/>
  <c r="AA170" i="1" s="1"/>
  <c r="Y127" i="1"/>
  <c r="AA127" i="1" s="1"/>
  <c r="Y230" i="1"/>
  <c r="AA230" i="1" s="1"/>
  <c r="Y360" i="1"/>
  <c r="AA360" i="1" s="1"/>
  <c r="AA70" i="1"/>
  <c r="G219" i="1"/>
  <c r="Y313" i="1" l="1"/>
  <c r="Y286" i="1"/>
  <c r="AA286" i="1" s="1"/>
  <c r="AA272" i="1"/>
  <c r="Y263" i="1"/>
  <c r="AA263" i="1" s="1"/>
  <c r="M374" i="1"/>
  <c r="L374" i="1"/>
  <c r="K374" i="1"/>
  <c r="J374" i="1"/>
  <c r="I374" i="1"/>
  <c r="H374" i="1"/>
  <c r="G374" i="1"/>
  <c r="M368" i="1"/>
  <c r="M375" i="1" s="1"/>
  <c r="L368" i="1"/>
  <c r="L375" i="1" s="1"/>
  <c r="K368" i="1"/>
  <c r="K375" i="1" s="1"/>
  <c r="J368" i="1"/>
  <c r="J375" i="1" s="1"/>
  <c r="I368" i="1"/>
  <c r="I375" i="1" s="1"/>
  <c r="H368" i="1"/>
  <c r="H375" i="1" s="1"/>
  <c r="G368" i="1"/>
  <c r="G375" i="1" s="1"/>
  <c r="M366" i="1"/>
  <c r="L366" i="1"/>
  <c r="K366" i="1"/>
  <c r="J366" i="1"/>
  <c r="I366" i="1"/>
  <c r="H366" i="1"/>
  <c r="G366" i="1"/>
  <c r="M365" i="1"/>
  <c r="L365" i="1"/>
  <c r="K365" i="1"/>
  <c r="J365" i="1"/>
  <c r="I365" i="1"/>
  <c r="H365" i="1"/>
  <c r="G365" i="1"/>
  <c r="M359" i="1"/>
  <c r="L359" i="1"/>
  <c r="K359" i="1"/>
  <c r="J359" i="1"/>
  <c r="I359" i="1"/>
  <c r="H359" i="1"/>
  <c r="G359" i="1"/>
  <c r="M354" i="1"/>
  <c r="M360" i="1" s="1"/>
  <c r="L354" i="1"/>
  <c r="L360" i="1" s="1"/>
  <c r="K354" i="1"/>
  <c r="K361" i="1" s="1"/>
  <c r="J354" i="1"/>
  <c r="J360" i="1" s="1"/>
  <c r="I354" i="1"/>
  <c r="I361" i="1" s="1"/>
  <c r="H354" i="1"/>
  <c r="H360" i="1" s="1"/>
  <c r="G354" i="1"/>
  <c r="G361" i="1" s="1"/>
  <c r="M348" i="1"/>
  <c r="L348" i="1"/>
  <c r="K348" i="1"/>
  <c r="J348" i="1"/>
  <c r="I348" i="1"/>
  <c r="H348" i="1"/>
  <c r="G348" i="1"/>
  <c r="M344" i="1"/>
  <c r="L344" i="1"/>
  <c r="K344" i="1"/>
  <c r="J344" i="1"/>
  <c r="I344" i="1"/>
  <c r="H344" i="1"/>
  <c r="G344" i="1"/>
  <c r="M340" i="1"/>
  <c r="L340" i="1"/>
  <c r="K340" i="1"/>
  <c r="J340" i="1"/>
  <c r="I340" i="1"/>
  <c r="H340" i="1"/>
  <c r="G340" i="1"/>
  <c r="M333" i="1"/>
  <c r="L333" i="1"/>
  <c r="K333" i="1"/>
  <c r="J333" i="1"/>
  <c r="I333" i="1"/>
  <c r="H333" i="1"/>
  <c r="G333" i="1"/>
  <c r="M328" i="1"/>
  <c r="L328" i="1"/>
  <c r="K328" i="1"/>
  <c r="J328" i="1"/>
  <c r="I328" i="1"/>
  <c r="H328" i="1"/>
  <c r="G328" i="1"/>
  <c r="M312" i="1"/>
  <c r="L312" i="1"/>
  <c r="K312" i="1"/>
  <c r="J312" i="1"/>
  <c r="I312" i="1"/>
  <c r="H312" i="1"/>
  <c r="G312" i="1"/>
  <c r="M303" i="1"/>
  <c r="L303" i="1"/>
  <c r="K303" i="1"/>
  <c r="J303" i="1"/>
  <c r="I303" i="1"/>
  <c r="H303" i="1"/>
  <c r="G303" i="1"/>
  <c r="M300" i="1"/>
  <c r="L300" i="1"/>
  <c r="K300" i="1"/>
  <c r="J300" i="1"/>
  <c r="I300" i="1"/>
  <c r="H300" i="1"/>
  <c r="G300" i="1"/>
  <c r="M296" i="1"/>
  <c r="L296" i="1"/>
  <c r="K296" i="1"/>
  <c r="J296" i="1"/>
  <c r="I296" i="1"/>
  <c r="H296" i="1"/>
  <c r="G296" i="1"/>
  <c r="M293" i="1"/>
  <c r="L293" i="1"/>
  <c r="K293" i="1"/>
  <c r="J293" i="1"/>
  <c r="I293" i="1"/>
  <c r="H293" i="1"/>
  <c r="G293" i="1"/>
  <c r="M290" i="1"/>
  <c r="L290" i="1"/>
  <c r="K290" i="1"/>
  <c r="J290" i="1"/>
  <c r="I290" i="1"/>
  <c r="H290" i="1"/>
  <c r="G290" i="1"/>
  <c r="M285" i="1"/>
  <c r="L285" i="1"/>
  <c r="K285" i="1"/>
  <c r="J285" i="1"/>
  <c r="I285" i="1"/>
  <c r="H285" i="1"/>
  <c r="G285" i="1"/>
  <c r="M279" i="1"/>
  <c r="L279" i="1"/>
  <c r="K279" i="1"/>
  <c r="J279" i="1"/>
  <c r="I279" i="1"/>
  <c r="H279" i="1"/>
  <c r="G279" i="1"/>
  <c r="M267" i="1"/>
  <c r="M272" i="1" s="1"/>
  <c r="L267" i="1"/>
  <c r="L272" i="1" s="1"/>
  <c r="K267" i="1"/>
  <c r="J267" i="1"/>
  <c r="I267" i="1"/>
  <c r="I272" i="1" s="1"/>
  <c r="H267" i="1"/>
  <c r="H272" i="1" s="1"/>
  <c r="G267" i="1"/>
  <c r="G272" i="1" s="1"/>
  <c r="M261" i="1"/>
  <c r="L261" i="1"/>
  <c r="K261" i="1"/>
  <c r="J261" i="1"/>
  <c r="I261" i="1"/>
  <c r="H261" i="1"/>
  <c r="G261" i="1"/>
  <c r="M252" i="1"/>
  <c r="L252" i="1"/>
  <c r="K252" i="1"/>
  <c r="J252" i="1"/>
  <c r="I252" i="1"/>
  <c r="H252" i="1"/>
  <c r="G252" i="1"/>
  <c r="M249" i="1"/>
  <c r="L249" i="1"/>
  <c r="K249" i="1"/>
  <c r="J249" i="1"/>
  <c r="I249" i="1"/>
  <c r="H249" i="1"/>
  <c r="G249" i="1"/>
  <c r="M245" i="1"/>
  <c r="L245" i="1"/>
  <c r="K245" i="1"/>
  <c r="J245" i="1"/>
  <c r="I245" i="1"/>
  <c r="H245" i="1"/>
  <c r="G245" i="1"/>
  <c r="M243" i="1"/>
  <c r="L243" i="1"/>
  <c r="K243" i="1"/>
  <c r="J243" i="1"/>
  <c r="I243" i="1"/>
  <c r="H243" i="1"/>
  <c r="G243" i="1"/>
  <c r="M239" i="1"/>
  <c r="L239" i="1"/>
  <c r="K239" i="1"/>
  <c r="J239" i="1"/>
  <c r="I239" i="1"/>
  <c r="H239" i="1"/>
  <c r="G239" i="1"/>
  <c r="M234" i="1"/>
  <c r="M240" i="1" s="1"/>
  <c r="L234" i="1"/>
  <c r="L240" i="1" s="1"/>
  <c r="K234" i="1"/>
  <c r="K240" i="1" s="1"/>
  <c r="J234" i="1"/>
  <c r="J240" i="1" s="1"/>
  <c r="I234" i="1"/>
  <c r="I240" i="1" s="1"/>
  <c r="H234" i="1"/>
  <c r="H240" i="1" s="1"/>
  <c r="G234" i="1"/>
  <c r="G240" i="1" s="1"/>
  <c r="M228" i="1"/>
  <c r="M230" i="1" s="1"/>
  <c r="L228" i="1"/>
  <c r="L230" i="1" s="1"/>
  <c r="K228" i="1"/>
  <c r="K230" i="1" s="1"/>
  <c r="J228" i="1"/>
  <c r="J230" i="1" s="1"/>
  <c r="I228" i="1"/>
  <c r="I230" i="1" s="1"/>
  <c r="H228" i="1"/>
  <c r="G228" i="1"/>
  <c r="M224" i="1"/>
  <c r="L224" i="1"/>
  <c r="K224" i="1"/>
  <c r="J224" i="1"/>
  <c r="I224" i="1"/>
  <c r="H224" i="1"/>
  <c r="G224" i="1"/>
  <c r="M222" i="1"/>
  <c r="L222" i="1"/>
  <c r="K222" i="1"/>
  <c r="J222" i="1"/>
  <c r="I222" i="1"/>
  <c r="H222" i="1"/>
  <c r="G222" i="1"/>
  <c r="M219" i="1"/>
  <c r="L219" i="1"/>
  <c r="K219" i="1"/>
  <c r="J219" i="1"/>
  <c r="I219" i="1"/>
  <c r="H219" i="1"/>
  <c r="M211" i="1"/>
  <c r="M220" i="1" s="1"/>
  <c r="L211" i="1"/>
  <c r="L220" i="1" s="1"/>
  <c r="K211" i="1"/>
  <c r="K220" i="1" s="1"/>
  <c r="J211" i="1"/>
  <c r="J220" i="1" s="1"/>
  <c r="I211" i="1"/>
  <c r="I220" i="1" s="1"/>
  <c r="H211" i="1"/>
  <c r="H220" i="1" s="1"/>
  <c r="G211" i="1"/>
  <c r="G220" i="1" s="1"/>
  <c r="M206" i="1"/>
  <c r="L206" i="1"/>
  <c r="K206" i="1"/>
  <c r="J206" i="1"/>
  <c r="I206" i="1"/>
  <c r="H206" i="1"/>
  <c r="G206" i="1"/>
  <c r="M203" i="1"/>
  <c r="L203" i="1"/>
  <c r="K203" i="1"/>
  <c r="J203" i="1"/>
  <c r="I203" i="1"/>
  <c r="H203" i="1"/>
  <c r="G203" i="1"/>
  <c r="M199" i="1"/>
  <c r="L199" i="1"/>
  <c r="K199" i="1"/>
  <c r="J199" i="1"/>
  <c r="I199" i="1"/>
  <c r="H199" i="1"/>
  <c r="G199" i="1"/>
  <c r="M191" i="1"/>
  <c r="L191" i="1"/>
  <c r="K191" i="1"/>
  <c r="J191" i="1"/>
  <c r="I191" i="1"/>
  <c r="H191" i="1"/>
  <c r="G191" i="1"/>
  <c r="M187" i="1"/>
  <c r="L187" i="1"/>
  <c r="K187" i="1"/>
  <c r="J187" i="1"/>
  <c r="I187" i="1"/>
  <c r="H187" i="1"/>
  <c r="G187" i="1"/>
  <c r="M184" i="1"/>
  <c r="L184" i="1"/>
  <c r="K184" i="1"/>
  <c r="J184" i="1"/>
  <c r="I184" i="1"/>
  <c r="H184" i="1"/>
  <c r="G184" i="1"/>
  <c r="M178" i="1"/>
  <c r="L178" i="1"/>
  <c r="K178" i="1"/>
  <c r="J178" i="1"/>
  <c r="I178" i="1"/>
  <c r="H178" i="1"/>
  <c r="G178" i="1"/>
  <c r="M174" i="1"/>
  <c r="L174" i="1"/>
  <c r="K174" i="1"/>
  <c r="J174" i="1"/>
  <c r="I174" i="1"/>
  <c r="H174" i="1"/>
  <c r="G174" i="1"/>
  <c r="M168" i="1"/>
  <c r="L168" i="1"/>
  <c r="K168" i="1"/>
  <c r="J168" i="1"/>
  <c r="I168" i="1"/>
  <c r="H168" i="1"/>
  <c r="G168" i="1"/>
  <c r="M154" i="1"/>
  <c r="L154" i="1"/>
  <c r="K154" i="1"/>
  <c r="J154" i="1"/>
  <c r="I154" i="1"/>
  <c r="H154" i="1"/>
  <c r="G154" i="1"/>
  <c r="M133" i="1"/>
  <c r="L133" i="1"/>
  <c r="K133" i="1"/>
  <c r="J133" i="1"/>
  <c r="I133" i="1"/>
  <c r="H133" i="1"/>
  <c r="G133" i="1"/>
  <c r="M126" i="1"/>
  <c r="L126" i="1"/>
  <c r="K126" i="1"/>
  <c r="J126" i="1"/>
  <c r="I126" i="1"/>
  <c r="H126" i="1"/>
  <c r="G126" i="1"/>
  <c r="M119" i="1"/>
  <c r="L119" i="1"/>
  <c r="K119" i="1"/>
  <c r="J119" i="1"/>
  <c r="I119" i="1"/>
  <c r="H119" i="1"/>
  <c r="G119" i="1"/>
  <c r="M117" i="1"/>
  <c r="L117" i="1"/>
  <c r="K117" i="1"/>
  <c r="J117" i="1"/>
  <c r="I117" i="1"/>
  <c r="H117" i="1"/>
  <c r="G117" i="1"/>
  <c r="M113" i="1"/>
  <c r="L113" i="1"/>
  <c r="K113" i="1"/>
  <c r="J113" i="1"/>
  <c r="I113" i="1"/>
  <c r="H113" i="1"/>
  <c r="G113" i="1"/>
  <c r="M108" i="1"/>
  <c r="L108" i="1"/>
  <c r="K108" i="1"/>
  <c r="J108" i="1"/>
  <c r="I108" i="1"/>
  <c r="H108" i="1"/>
  <c r="G108" i="1"/>
  <c r="M101" i="1"/>
  <c r="L101" i="1"/>
  <c r="K101" i="1"/>
  <c r="J101" i="1"/>
  <c r="I101" i="1"/>
  <c r="H101" i="1"/>
  <c r="G101" i="1"/>
  <c r="M95" i="1"/>
  <c r="L95" i="1"/>
  <c r="K95" i="1"/>
  <c r="J95" i="1"/>
  <c r="I95" i="1"/>
  <c r="H95" i="1"/>
  <c r="G95" i="1"/>
  <c r="M93" i="1"/>
  <c r="L93" i="1"/>
  <c r="K93" i="1"/>
  <c r="J93" i="1"/>
  <c r="I93" i="1"/>
  <c r="H93" i="1"/>
  <c r="G93" i="1"/>
  <c r="M88" i="1"/>
  <c r="L88" i="1"/>
  <c r="K88" i="1"/>
  <c r="J88" i="1"/>
  <c r="I88" i="1"/>
  <c r="H88" i="1"/>
  <c r="G88" i="1"/>
  <c r="M85" i="1"/>
  <c r="L85" i="1"/>
  <c r="K85" i="1"/>
  <c r="J85" i="1"/>
  <c r="I85" i="1"/>
  <c r="H85" i="1"/>
  <c r="G85" i="1"/>
  <c r="M83" i="1"/>
  <c r="L83" i="1"/>
  <c r="K83" i="1"/>
  <c r="J83" i="1"/>
  <c r="I83" i="1"/>
  <c r="H83" i="1"/>
  <c r="G83" i="1"/>
  <c r="M74" i="1"/>
  <c r="L74" i="1"/>
  <c r="K74" i="1"/>
  <c r="J74" i="1"/>
  <c r="I74" i="1"/>
  <c r="H74" i="1"/>
  <c r="G74" i="1"/>
  <c r="M70" i="1"/>
  <c r="L70" i="1"/>
  <c r="K70" i="1"/>
  <c r="J70" i="1"/>
  <c r="I70" i="1"/>
  <c r="H70" i="1"/>
  <c r="G70" i="1"/>
  <c r="M66" i="1"/>
  <c r="L66" i="1"/>
  <c r="K66" i="1"/>
  <c r="J66" i="1"/>
  <c r="I66" i="1"/>
  <c r="H66" i="1"/>
  <c r="G66" i="1"/>
  <c r="M64" i="1"/>
  <c r="L64" i="1"/>
  <c r="K64" i="1"/>
  <c r="J64" i="1"/>
  <c r="I64" i="1"/>
  <c r="H64" i="1"/>
  <c r="G64" i="1"/>
  <c r="M61" i="1"/>
  <c r="L61" i="1"/>
  <c r="K61" i="1"/>
  <c r="J61" i="1"/>
  <c r="I61" i="1"/>
  <c r="H61" i="1"/>
  <c r="G61" i="1"/>
  <c r="M58" i="1"/>
  <c r="L58" i="1"/>
  <c r="K58" i="1"/>
  <c r="J58" i="1"/>
  <c r="I58" i="1"/>
  <c r="H58" i="1"/>
  <c r="G58" i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M49" i="1"/>
  <c r="L49" i="1"/>
  <c r="K49" i="1"/>
  <c r="J49" i="1"/>
  <c r="I49" i="1"/>
  <c r="H49" i="1"/>
  <c r="G49" i="1"/>
  <c r="M41" i="1"/>
  <c r="M50" i="1" s="1"/>
  <c r="L41" i="1"/>
  <c r="L50" i="1" s="1"/>
  <c r="K41" i="1"/>
  <c r="K50" i="1" s="1"/>
  <c r="J41" i="1"/>
  <c r="J50" i="1" s="1"/>
  <c r="I41" i="1"/>
  <c r="I50" i="1" s="1"/>
  <c r="H41" i="1"/>
  <c r="H50" i="1" s="1"/>
  <c r="G41" i="1"/>
  <c r="G50" i="1" s="1"/>
  <c r="M38" i="1"/>
  <c r="L38" i="1"/>
  <c r="K38" i="1"/>
  <c r="J38" i="1"/>
  <c r="I38" i="1"/>
  <c r="H38" i="1"/>
  <c r="G38" i="1"/>
  <c r="M36" i="1"/>
  <c r="L36" i="1"/>
  <c r="K36" i="1"/>
  <c r="J36" i="1"/>
  <c r="I36" i="1"/>
  <c r="H36" i="1"/>
  <c r="G36" i="1"/>
  <c r="M25" i="1"/>
  <c r="L25" i="1"/>
  <c r="K25" i="1"/>
  <c r="J25" i="1"/>
  <c r="I25" i="1"/>
  <c r="H25" i="1"/>
  <c r="G25" i="1"/>
  <c r="M22" i="1"/>
  <c r="L22" i="1"/>
  <c r="K22" i="1"/>
  <c r="J22" i="1"/>
  <c r="I22" i="1"/>
  <c r="H22" i="1"/>
  <c r="G22" i="1"/>
  <c r="M3" i="1"/>
  <c r="L3" i="1"/>
  <c r="K3" i="1"/>
  <c r="J3" i="1"/>
  <c r="I3" i="1"/>
  <c r="H3" i="1"/>
  <c r="G3" i="1"/>
  <c r="J71" i="1" l="1"/>
  <c r="I253" i="1"/>
  <c r="H71" i="1"/>
  <c r="J253" i="1"/>
  <c r="M71" i="1"/>
  <c r="G71" i="1"/>
  <c r="I71" i="1"/>
  <c r="H253" i="1"/>
  <c r="K71" i="1"/>
  <c r="M26" i="1"/>
  <c r="L71" i="1"/>
  <c r="I360" i="1"/>
  <c r="K360" i="1"/>
  <c r="H349" i="1"/>
  <c r="I349" i="1"/>
  <c r="J313" i="1"/>
  <c r="H286" i="1"/>
  <c r="I286" i="1"/>
  <c r="G253" i="1"/>
  <c r="K207" i="1"/>
  <c r="L207" i="1"/>
  <c r="I170" i="1"/>
  <c r="I127" i="1"/>
  <c r="K127" i="1"/>
  <c r="H127" i="1"/>
  <c r="K26" i="1"/>
  <c r="L26" i="1"/>
  <c r="L361" i="1"/>
  <c r="M361" i="1"/>
  <c r="J361" i="1"/>
  <c r="J349" i="1"/>
  <c r="K349" i="1"/>
  <c r="L349" i="1"/>
  <c r="M349" i="1"/>
  <c r="G349" i="1"/>
  <c r="L313" i="1"/>
  <c r="H313" i="1"/>
  <c r="K313" i="1"/>
  <c r="M313" i="1"/>
  <c r="G313" i="1"/>
  <c r="I313" i="1"/>
  <c r="J272" i="1"/>
  <c r="J286" i="1" s="1"/>
  <c r="G286" i="1"/>
  <c r="L286" i="1"/>
  <c r="M286" i="1"/>
  <c r="K253" i="1"/>
  <c r="K263" i="1" s="1"/>
  <c r="M253" i="1"/>
  <c r="M263" i="1" s="1"/>
  <c r="L253" i="1"/>
  <c r="L263" i="1" s="1"/>
  <c r="H230" i="1"/>
  <c r="I263" i="1"/>
  <c r="M207" i="1"/>
  <c r="G207" i="1"/>
  <c r="H207" i="1"/>
  <c r="I207" i="1"/>
  <c r="J207" i="1"/>
  <c r="J170" i="1"/>
  <c r="K170" i="1"/>
  <c r="H170" i="1"/>
  <c r="G170" i="1"/>
  <c r="L170" i="1"/>
  <c r="M170" i="1"/>
  <c r="M127" i="1"/>
  <c r="J127" i="1"/>
  <c r="G127" i="1"/>
  <c r="L127" i="1"/>
  <c r="I26" i="1"/>
  <c r="J26" i="1"/>
  <c r="J263" i="1"/>
  <c r="G26" i="1"/>
  <c r="G360" i="1"/>
  <c r="H361" i="1"/>
  <c r="H26" i="1"/>
  <c r="G230" i="1"/>
  <c r="K272" i="1"/>
  <c r="X374" i="1"/>
  <c r="X368" i="1"/>
  <c r="X366" i="1"/>
  <c r="X365" i="1"/>
  <c r="X359" i="1"/>
  <c r="X354" i="1"/>
  <c r="X348" i="1"/>
  <c r="X340" i="1"/>
  <c r="X345" i="1" s="1"/>
  <c r="X333" i="1"/>
  <c r="X328" i="1"/>
  <c r="X296" i="1"/>
  <c r="X303" i="1"/>
  <c r="X297" i="1"/>
  <c r="X312" i="1"/>
  <c r="X293" i="1"/>
  <c r="X290" i="1"/>
  <c r="X285" i="1"/>
  <c r="X279" i="1"/>
  <c r="X267" i="1"/>
  <c r="X239" i="1"/>
  <c r="X261" i="1"/>
  <c r="X252" i="1"/>
  <c r="X249" i="1"/>
  <c r="X245" i="1"/>
  <c r="X243" i="1"/>
  <c r="X234" i="1"/>
  <c r="X228" i="1"/>
  <c r="X224" i="1"/>
  <c r="X222" i="1"/>
  <c r="X219" i="1"/>
  <c r="X211" i="1"/>
  <c r="X203" i="1"/>
  <c r="X206" i="1"/>
  <c r="X199" i="1"/>
  <c r="X191" i="1"/>
  <c r="X187" i="1"/>
  <c r="X184" i="1"/>
  <c r="X174" i="1"/>
  <c r="X178" i="1"/>
  <c r="X168" i="1"/>
  <c r="X154" i="1"/>
  <c r="X133" i="1"/>
  <c r="X119" i="1"/>
  <c r="X117" i="1"/>
  <c r="X108" i="1"/>
  <c r="X83" i="1"/>
  <c r="X230" i="1" l="1"/>
  <c r="X240" i="1"/>
  <c r="X361" i="1"/>
  <c r="X375" i="1"/>
  <c r="X220" i="1"/>
  <c r="X360" i="1"/>
  <c r="H263" i="1"/>
  <c r="X253" i="1"/>
  <c r="X207" i="1"/>
  <c r="X170" i="1"/>
  <c r="G263" i="1"/>
  <c r="K225" i="1"/>
  <c r="X349" i="1"/>
  <c r="H225" i="1"/>
  <c r="I225" i="1"/>
  <c r="I377" i="1" s="1"/>
  <c r="L225" i="1"/>
  <c r="L377" i="1" s="1"/>
  <c r="M225" i="1"/>
  <c r="M377" i="1" s="1"/>
  <c r="J225" i="1"/>
  <c r="J377" i="1" s="1"/>
  <c r="G225" i="1"/>
  <c r="G377" i="1" s="1"/>
  <c r="K286" i="1"/>
  <c r="K377" i="1" s="1"/>
  <c r="X300" i="1"/>
  <c r="X272" i="1"/>
  <c r="X286" i="1" s="1"/>
  <c r="X126" i="1"/>
  <c r="X113" i="1"/>
  <c r="X101" i="1"/>
  <c r="X92" i="1"/>
  <c r="X88" i="1"/>
  <c r="X85" i="1"/>
  <c r="X73" i="1"/>
  <c r="X69" i="1"/>
  <c r="X66" i="1"/>
  <c r="X64" i="1"/>
  <c r="X61" i="1"/>
  <c r="X58" i="1"/>
  <c r="X59" i="1"/>
  <c r="X49" i="1"/>
  <c r="X41" i="1"/>
  <c r="X50" i="1" s="1"/>
  <c r="X38" i="1"/>
  <c r="X36" i="1"/>
  <c r="X25" i="1"/>
  <c r="X22" i="1"/>
  <c r="X3" i="1"/>
  <c r="X127" i="1" l="1"/>
  <c r="H377" i="1"/>
  <c r="X313" i="1"/>
  <c r="X263" i="1"/>
  <c r="X71" i="1"/>
  <c r="X93" i="1"/>
  <c r="X70" i="1"/>
  <c r="X26" i="1"/>
  <c r="X74" i="1"/>
  <c r="P69" i="1"/>
  <c r="AC69" i="1" s="1"/>
  <c r="W239" i="1"/>
  <c r="U219" i="1"/>
  <c r="U211" i="1"/>
  <c r="U22" i="1"/>
  <c r="U3" i="1"/>
  <c r="U25" i="1"/>
  <c r="U36" i="1"/>
  <c r="U38" i="1"/>
  <c r="U41" i="1"/>
  <c r="U49" i="1"/>
  <c r="U70" i="1"/>
  <c r="U64" i="1"/>
  <c r="U66" i="1"/>
  <c r="U74" i="1"/>
  <c r="U85" i="1"/>
  <c r="U88" i="1"/>
  <c r="U93" i="1"/>
  <c r="U108" i="1"/>
  <c r="U95" i="1"/>
  <c r="U101" i="1"/>
  <c r="U113" i="1"/>
  <c r="U117" i="1"/>
  <c r="U119" i="1"/>
  <c r="U126" i="1"/>
  <c r="U168" i="1"/>
  <c r="U133" i="1"/>
  <c r="U154" i="1"/>
  <c r="U174" i="1"/>
  <c r="U178" i="1"/>
  <c r="U184" i="1"/>
  <c r="U187" i="1"/>
  <c r="U55" i="1"/>
  <c r="U59" i="1" s="1"/>
  <c r="U58" i="1"/>
  <c r="U191" i="1"/>
  <c r="U203" i="1"/>
  <c r="U199" i="1"/>
  <c r="U206" i="1"/>
  <c r="U61" i="1"/>
  <c r="U83" i="1"/>
  <c r="U222" i="1"/>
  <c r="U224" i="1"/>
  <c r="U261" i="1"/>
  <c r="U228" i="1"/>
  <c r="U245" i="1"/>
  <c r="U249" i="1"/>
  <c r="U234" i="1"/>
  <c r="U243" i="1"/>
  <c r="U239" i="1"/>
  <c r="U252" i="1"/>
  <c r="U267" i="1"/>
  <c r="U279" i="1"/>
  <c r="U312" i="1"/>
  <c r="AB312" i="1" s="1"/>
  <c r="U290" i="1"/>
  <c r="AB290" i="1" s="1"/>
  <c r="U293" i="1"/>
  <c r="AB293" i="1" s="1"/>
  <c r="U303" i="1"/>
  <c r="AB303" i="1" s="1"/>
  <c r="U296" i="1"/>
  <c r="AB296" i="1" s="1"/>
  <c r="U300" i="1"/>
  <c r="AB300" i="1" s="1"/>
  <c r="U333" i="1"/>
  <c r="AB333" i="1" s="1"/>
  <c r="U344" i="1"/>
  <c r="AB344" i="1" s="1"/>
  <c r="U328" i="1"/>
  <c r="AB328" i="1" s="1"/>
  <c r="U340" i="1"/>
  <c r="AB337" i="1"/>
  <c r="U359" i="1"/>
  <c r="AB359" i="1" s="1"/>
  <c r="U354" i="1"/>
  <c r="U374" i="1"/>
  <c r="AB374" i="1" s="1"/>
  <c r="U368" i="1"/>
  <c r="AB368" i="1" s="1"/>
  <c r="U365" i="1"/>
  <c r="AB365" i="1" s="1"/>
  <c r="U366" i="1"/>
  <c r="AB366" i="1" s="1"/>
  <c r="U285" i="1"/>
  <c r="U348" i="1"/>
  <c r="AB348" i="1" s="1"/>
  <c r="V372" i="1"/>
  <c r="V363" i="1"/>
  <c r="V364" i="1"/>
  <c r="V371" i="1"/>
  <c r="V352" i="1"/>
  <c r="V351" i="1"/>
  <c r="V358" i="1"/>
  <c r="V357" i="1"/>
  <c r="V356" i="1"/>
  <c r="V318" i="1"/>
  <c r="V342" i="1"/>
  <c r="V341" i="1"/>
  <c r="V339" i="1"/>
  <c r="V330" i="1"/>
  <c r="V329" i="1"/>
  <c r="V299" i="1"/>
  <c r="V297" i="1"/>
  <c r="V295" i="1"/>
  <c r="V301" i="1"/>
  <c r="V292" i="1"/>
  <c r="V291" i="1"/>
  <c r="V289" i="1"/>
  <c r="V287" i="1"/>
  <c r="V310" i="1"/>
  <c r="V309" i="1"/>
  <c r="V308" i="1"/>
  <c r="V275" i="1"/>
  <c r="AB275" i="1" s="1"/>
  <c r="V274" i="1"/>
  <c r="AB274" i="1" s="1"/>
  <c r="V266" i="1"/>
  <c r="AB266" i="1" s="1"/>
  <c r="V265" i="1"/>
  <c r="AB265" i="1" s="1"/>
  <c r="V60" i="1"/>
  <c r="V241" i="1"/>
  <c r="V244" i="1"/>
  <c r="V246" i="1"/>
  <c r="V229" i="1"/>
  <c r="AB229" i="1" s="1"/>
  <c r="V258" i="1"/>
  <c r="AB258" i="1" s="1"/>
  <c r="V257" i="1"/>
  <c r="AB257" i="1" s="1"/>
  <c r="V226" i="1"/>
  <c r="V370" i="1"/>
  <c r="V134" i="1"/>
  <c r="AB134" i="1" s="1"/>
  <c r="V198" i="1"/>
  <c r="AB198" i="1" s="1"/>
  <c r="V197" i="1"/>
  <c r="AB197" i="1" s="1"/>
  <c r="V196" i="1"/>
  <c r="AB196" i="1" s="1"/>
  <c r="V195" i="1"/>
  <c r="AB195" i="1" s="1"/>
  <c r="V193" i="1"/>
  <c r="AB193" i="1" s="1"/>
  <c r="V223" i="1"/>
  <c r="V205" i="1"/>
  <c r="AB205" i="1" s="1"/>
  <c r="V204" i="1"/>
  <c r="AB204" i="1" s="1"/>
  <c r="V200" i="1"/>
  <c r="V189" i="1"/>
  <c r="V57" i="1"/>
  <c r="V51" i="1"/>
  <c r="AB51" i="1" s="1"/>
  <c r="V185" i="1"/>
  <c r="V181" i="1"/>
  <c r="V176" i="1"/>
  <c r="V171" i="1"/>
  <c r="V146" i="1"/>
  <c r="AB146" i="1" s="1"/>
  <c r="V123" i="1"/>
  <c r="AB123" i="1" s="1"/>
  <c r="V121" i="1"/>
  <c r="AB121" i="1" s="1"/>
  <c r="V109" i="1"/>
  <c r="V96" i="1"/>
  <c r="V90" i="1"/>
  <c r="AB90" i="1" s="1"/>
  <c r="V89" i="1"/>
  <c r="AB89" i="1" s="1"/>
  <c r="V86" i="1"/>
  <c r="V84" i="1"/>
  <c r="V72" i="1"/>
  <c r="V62" i="1"/>
  <c r="V65" i="1"/>
  <c r="V67" i="1"/>
  <c r="AB67" i="1" s="1"/>
  <c r="V42" i="1"/>
  <c r="V39" i="1"/>
  <c r="V37" i="1"/>
  <c r="V34" i="1"/>
  <c r="AB34" i="1" s="1"/>
  <c r="V27" i="1"/>
  <c r="AB27" i="1" s="1"/>
  <c r="V23" i="1"/>
  <c r="V13" i="1"/>
  <c r="AB13" i="1" s="1"/>
  <c r="V4" i="1"/>
  <c r="AB4" i="1" s="1"/>
  <c r="V2" i="1"/>
  <c r="V214" i="1"/>
  <c r="V210" i="1"/>
  <c r="V367" i="1"/>
  <c r="W367" i="1"/>
  <c r="W363" i="1"/>
  <c r="W372" i="1"/>
  <c r="W371" i="1"/>
  <c r="W353" i="1"/>
  <c r="W352" i="1"/>
  <c r="W358" i="1"/>
  <c r="W357" i="1"/>
  <c r="W299" i="1"/>
  <c r="W297" i="1"/>
  <c r="W324" i="1"/>
  <c r="W319" i="1"/>
  <c r="W331" i="1"/>
  <c r="W341" i="1"/>
  <c r="W339" i="1"/>
  <c r="W330" i="1"/>
  <c r="W329" i="1"/>
  <c r="W295" i="1"/>
  <c r="W301" i="1"/>
  <c r="W292" i="1"/>
  <c r="W291" i="1"/>
  <c r="W289" i="1"/>
  <c r="W287" i="1"/>
  <c r="W309" i="1"/>
  <c r="W308" i="1"/>
  <c r="W274" i="1"/>
  <c r="W273" i="1"/>
  <c r="W266" i="1"/>
  <c r="W265" i="1"/>
  <c r="W231" i="1"/>
  <c r="W246" i="1"/>
  <c r="W226" i="1"/>
  <c r="W258" i="1"/>
  <c r="W257" i="1"/>
  <c r="W62" i="1"/>
  <c r="W196" i="1"/>
  <c r="W195" i="1"/>
  <c r="W193" i="1"/>
  <c r="W205" i="1"/>
  <c r="W204" i="1"/>
  <c r="W200" i="1"/>
  <c r="W57" i="1"/>
  <c r="W51" i="1"/>
  <c r="W185" i="1"/>
  <c r="W183" i="1"/>
  <c r="W181" i="1"/>
  <c r="W180" i="1"/>
  <c r="W146" i="1"/>
  <c r="W148" i="1"/>
  <c r="W134" i="1"/>
  <c r="W123" i="1"/>
  <c r="W89" i="1"/>
  <c r="W84" i="1"/>
  <c r="W73" i="1"/>
  <c r="W72" i="1"/>
  <c r="W69" i="1"/>
  <c r="W65" i="1"/>
  <c r="W67" i="1"/>
  <c r="W48" i="1"/>
  <c r="W42" i="1"/>
  <c r="W39" i="1"/>
  <c r="W37" i="1"/>
  <c r="W34" i="1"/>
  <c r="W28" i="1"/>
  <c r="W27" i="1"/>
  <c r="W24" i="1"/>
  <c r="W19" i="1"/>
  <c r="W7" i="1"/>
  <c r="W214" i="1"/>
  <c r="W210" i="1"/>
  <c r="W209" i="1"/>
  <c r="W212" i="1"/>
  <c r="N3" i="1"/>
  <c r="N22" i="1"/>
  <c r="N25" i="1"/>
  <c r="N36" i="1"/>
  <c r="N38" i="1"/>
  <c r="N41" i="1"/>
  <c r="N50" i="1" s="1"/>
  <c r="N49" i="1"/>
  <c r="N55" i="1"/>
  <c r="N59" i="1" s="1"/>
  <c r="N58" i="1"/>
  <c r="N61" i="1"/>
  <c r="N64" i="1"/>
  <c r="N66" i="1"/>
  <c r="N70" i="1"/>
  <c r="N74" i="1"/>
  <c r="N83" i="1"/>
  <c r="N85" i="1"/>
  <c r="N88" i="1"/>
  <c r="N93" i="1"/>
  <c r="N95" i="1"/>
  <c r="N101" i="1"/>
  <c r="N108" i="1"/>
  <c r="N113" i="1"/>
  <c r="N117" i="1"/>
  <c r="N119" i="1"/>
  <c r="N126" i="1"/>
  <c r="N133" i="1"/>
  <c r="N154" i="1"/>
  <c r="N168" i="1"/>
  <c r="N174" i="1"/>
  <c r="N178" i="1"/>
  <c r="N184" i="1"/>
  <c r="N187" i="1"/>
  <c r="N191" i="1"/>
  <c r="N199" i="1"/>
  <c r="N203" i="1"/>
  <c r="N206" i="1"/>
  <c r="N211" i="1"/>
  <c r="N220" i="1" s="1"/>
  <c r="N219" i="1"/>
  <c r="N222" i="1"/>
  <c r="N224" i="1"/>
  <c r="N228" i="1"/>
  <c r="N230" i="1" s="1"/>
  <c r="N234" i="1"/>
  <c r="N240" i="1" s="1"/>
  <c r="N239" i="1"/>
  <c r="N243" i="1"/>
  <c r="N245" i="1"/>
  <c r="N249" i="1"/>
  <c r="N252" i="1"/>
  <c r="N261" i="1"/>
  <c r="N267" i="1"/>
  <c r="N272" i="1" s="1"/>
  <c r="N279" i="1"/>
  <c r="N285" i="1"/>
  <c r="N290" i="1"/>
  <c r="N293" i="1"/>
  <c r="N296" i="1"/>
  <c r="N300" i="1"/>
  <c r="N303" i="1"/>
  <c r="N312" i="1"/>
  <c r="N328" i="1"/>
  <c r="N333" i="1"/>
  <c r="N340" i="1"/>
  <c r="N344" i="1"/>
  <c r="N348" i="1"/>
  <c r="N354" i="1"/>
  <c r="N360" i="1" s="1"/>
  <c r="N359" i="1"/>
  <c r="N365" i="1"/>
  <c r="N366" i="1"/>
  <c r="N368" i="1"/>
  <c r="N375" i="1" s="1"/>
  <c r="N374" i="1"/>
  <c r="W3" i="1"/>
  <c r="W61" i="1"/>
  <c r="W83" i="1"/>
  <c r="W88" i="1"/>
  <c r="W95" i="1"/>
  <c r="W101" i="1"/>
  <c r="W108" i="1"/>
  <c r="W113" i="1"/>
  <c r="W117" i="1"/>
  <c r="W119" i="1"/>
  <c r="W133" i="1"/>
  <c r="W168" i="1"/>
  <c r="W174" i="1"/>
  <c r="W178" i="1"/>
  <c r="W191" i="1"/>
  <c r="W203" i="1"/>
  <c r="W222" i="1"/>
  <c r="W224" i="1"/>
  <c r="W243" i="1"/>
  <c r="W245" i="1"/>
  <c r="W252" i="1"/>
  <c r="W285" i="1"/>
  <c r="W348" i="1"/>
  <c r="S3" i="1"/>
  <c r="S22" i="1"/>
  <c r="S25" i="1"/>
  <c r="S36" i="1"/>
  <c r="S38" i="1"/>
  <c r="S41" i="1"/>
  <c r="S50" i="1" s="1"/>
  <c r="S49" i="1"/>
  <c r="S55" i="1"/>
  <c r="S59" i="1" s="1"/>
  <c r="S58" i="1"/>
  <c r="S61" i="1"/>
  <c r="S64" i="1"/>
  <c r="S66" i="1"/>
  <c r="S70" i="1"/>
  <c r="S74" i="1"/>
  <c r="S83" i="1"/>
  <c r="S85" i="1"/>
  <c r="S88" i="1"/>
  <c r="S93" i="1"/>
  <c r="S95" i="1"/>
  <c r="S101" i="1"/>
  <c r="S108" i="1"/>
  <c r="S113" i="1"/>
  <c r="S117" i="1"/>
  <c r="S119" i="1"/>
  <c r="S126" i="1"/>
  <c r="S133" i="1"/>
  <c r="S154" i="1"/>
  <c r="S168" i="1"/>
  <c r="S174" i="1"/>
  <c r="S178" i="1"/>
  <c r="S184" i="1"/>
  <c r="S187" i="1"/>
  <c r="S191" i="1"/>
  <c r="S199" i="1"/>
  <c r="S203" i="1"/>
  <c r="S206" i="1"/>
  <c r="S211" i="1"/>
  <c r="S220" i="1" s="1"/>
  <c r="S219" i="1"/>
  <c r="S222" i="1"/>
  <c r="S224" i="1"/>
  <c r="S228" i="1"/>
  <c r="S230" i="1" s="1"/>
  <c r="S234" i="1"/>
  <c r="S240" i="1" s="1"/>
  <c r="S239" i="1"/>
  <c r="S243" i="1"/>
  <c r="S245" i="1"/>
  <c r="S249" i="1"/>
  <c r="S252" i="1"/>
  <c r="S261" i="1"/>
  <c r="S267" i="1"/>
  <c r="S272" i="1" s="1"/>
  <c r="S279" i="1"/>
  <c r="S285" i="1"/>
  <c r="S290" i="1"/>
  <c r="S293" i="1"/>
  <c r="S296" i="1"/>
  <c r="S300" i="1"/>
  <c r="S303" i="1"/>
  <c r="S312" i="1"/>
  <c r="S328" i="1"/>
  <c r="S333" i="1"/>
  <c r="S340" i="1"/>
  <c r="S345" i="1" s="1"/>
  <c r="S344" i="1"/>
  <c r="S348" i="1"/>
  <c r="S354" i="1"/>
  <c r="S360" i="1" s="1"/>
  <c r="S359" i="1"/>
  <c r="S365" i="1"/>
  <c r="S366" i="1"/>
  <c r="S368" i="1"/>
  <c r="S375" i="1" s="1"/>
  <c r="S374" i="1"/>
  <c r="V83" i="1"/>
  <c r="AB83" i="1" s="1"/>
  <c r="V95" i="1"/>
  <c r="AB95" i="1" s="1"/>
  <c r="V108" i="1"/>
  <c r="AB108" i="1" s="1"/>
  <c r="V117" i="1"/>
  <c r="AB117" i="1" s="1"/>
  <c r="V119" i="1"/>
  <c r="AB119" i="1" s="1"/>
  <c r="V133" i="1"/>
  <c r="AB133" i="1" s="1"/>
  <c r="V168" i="1"/>
  <c r="AB168" i="1" s="1"/>
  <c r="V222" i="1"/>
  <c r="AB222" i="1" s="1"/>
  <c r="V234" i="1"/>
  <c r="AB234" i="1" s="1"/>
  <c r="V239" i="1"/>
  <c r="AB239" i="1" s="1"/>
  <c r="V252" i="1"/>
  <c r="AB252" i="1" s="1"/>
  <c r="V285" i="1"/>
  <c r="AB285" i="1" s="1"/>
  <c r="V348" i="1"/>
  <c r="T3" i="1"/>
  <c r="T22" i="1"/>
  <c r="T25" i="1"/>
  <c r="T36" i="1"/>
  <c r="T38" i="1"/>
  <c r="T41" i="1"/>
  <c r="T49" i="1"/>
  <c r="T55" i="1"/>
  <c r="T58" i="1"/>
  <c r="T61" i="1"/>
  <c r="T64" i="1"/>
  <c r="T66" i="1"/>
  <c r="T70" i="1"/>
  <c r="T74" i="1"/>
  <c r="T83" i="1"/>
  <c r="T85" i="1"/>
  <c r="T88" i="1"/>
  <c r="T93" i="1"/>
  <c r="T95" i="1"/>
  <c r="T101" i="1"/>
  <c r="T108" i="1"/>
  <c r="T113" i="1"/>
  <c r="T117" i="1"/>
  <c r="T119" i="1"/>
  <c r="T126" i="1"/>
  <c r="T133" i="1"/>
  <c r="T154" i="1"/>
  <c r="T168" i="1"/>
  <c r="T174" i="1"/>
  <c r="T178" i="1"/>
  <c r="T184" i="1"/>
  <c r="T187" i="1"/>
  <c r="T191" i="1"/>
  <c r="T199" i="1"/>
  <c r="T203" i="1"/>
  <c r="T206" i="1"/>
  <c r="T211" i="1"/>
  <c r="T219" i="1"/>
  <c r="T222" i="1"/>
  <c r="T224" i="1"/>
  <c r="T228" i="1"/>
  <c r="T234" i="1"/>
  <c r="T239" i="1"/>
  <c r="T243" i="1"/>
  <c r="T245" i="1"/>
  <c r="T249" i="1"/>
  <c r="T252" i="1"/>
  <c r="T261" i="1"/>
  <c r="T267" i="1"/>
  <c r="T279" i="1"/>
  <c r="T285" i="1"/>
  <c r="T290" i="1"/>
  <c r="T293" i="1"/>
  <c r="T296" i="1"/>
  <c r="T300" i="1"/>
  <c r="T303" i="1"/>
  <c r="T312" i="1"/>
  <c r="T328" i="1"/>
  <c r="T333" i="1"/>
  <c r="T340" i="1"/>
  <c r="T345" i="1" s="1"/>
  <c r="T344" i="1"/>
  <c r="T348" i="1"/>
  <c r="T354" i="1"/>
  <c r="T359" i="1"/>
  <c r="T365" i="1"/>
  <c r="T366" i="1"/>
  <c r="T368" i="1"/>
  <c r="T374" i="1"/>
  <c r="R3" i="1"/>
  <c r="R22" i="1"/>
  <c r="R25" i="1"/>
  <c r="R36" i="1"/>
  <c r="R38" i="1"/>
  <c r="R41" i="1"/>
  <c r="R50" i="1" s="1"/>
  <c r="R49" i="1"/>
  <c r="R55" i="1"/>
  <c r="R59" i="1" s="1"/>
  <c r="R58" i="1"/>
  <c r="R61" i="1"/>
  <c r="R64" i="1"/>
  <c r="R66" i="1"/>
  <c r="R70" i="1"/>
  <c r="R74" i="1"/>
  <c r="R83" i="1"/>
  <c r="R85" i="1"/>
  <c r="R88" i="1"/>
  <c r="R93" i="1"/>
  <c r="R95" i="1"/>
  <c r="R101" i="1"/>
  <c r="R108" i="1"/>
  <c r="R113" i="1"/>
  <c r="R117" i="1"/>
  <c r="R119" i="1"/>
  <c r="R126" i="1"/>
  <c r="R133" i="1"/>
  <c r="R154" i="1"/>
  <c r="R168" i="1"/>
  <c r="R174" i="1"/>
  <c r="R178" i="1"/>
  <c r="R184" i="1"/>
  <c r="R187" i="1"/>
  <c r="R191" i="1"/>
  <c r="R199" i="1"/>
  <c r="R203" i="1"/>
  <c r="R206" i="1"/>
  <c r="R211" i="1"/>
  <c r="R220" i="1" s="1"/>
  <c r="R219" i="1"/>
  <c r="R222" i="1"/>
  <c r="R224" i="1"/>
  <c r="R228" i="1"/>
  <c r="R230" i="1" s="1"/>
  <c r="R234" i="1"/>
  <c r="R240" i="1" s="1"/>
  <c r="R239" i="1"/>
  <c r="R243" i="1"/>
  <c r="R245" i="1"/>
  <c r="R249" i="1"/>
  <c r="R252" i="1"/>
  <c r="R261" i="1"/>
  <c r="R267" i="1"/>
  <c r="R272" i="1" s="1"/>
  <c r="R279" i="1"/>
  <c r="R285" i="1"/>
  <c r="R290" i="1"/>
  <c r="R293" i="1"/>
  <c r="R296" i="1"/>
  <c r="R300" i="1"/>
  <c r="R303" i="1"/>
  <c r="R312" i="1"/>
  <c r="R328" i="1"/>
  <c r="R333" i="1"/>
  <c r="R340" i="1"/>
  <c r="R345" i="1" s="1"/>
  <c r="R344" i="1"/>
  <c r="R348" i="1"/>
  <c r="R354" i="1"/>
  <c r="R360" i="1" s="1"/>
  <c r="R359" i="1"/>
  <c r="R365" i="1"/>
  <c r="R366" i="1"/>
  <c r="R368" i="1"/>
  <c r="R375" i="1" s="1"/>
  <c r="R374" i="1"/>
  <c r="Q3" i="1"/>
  <c r="Q22" i="1"/>
  <c r="Q25" i="1"/>
  <c r="Q36" i="1"/>
  <c r="Q38" i="1"/>
  <c r="Q41" i="1"/>
  <c r="Q49" i="1"/>
  <c r="Q55" i="1"/>
  <c r="Q58" i="1"/>
  <c r="Q61" i="1"/>
  <c r="Q64" i="1"/>
  <c r="Q66" i="1"/>
  <c r="Q70" i="1"/>
  <c r="Q74" i="1"/>
  <c r="Q83" i="1"/>
  <c r="Q85" i="1"/>
  <c r="Q88" i="1"/>
  <c r="Q93" i="1"/>
  <c r="Q95" i="1"/>
  <c r="Q101" i="1"/>
  <c r="Q108" i="1"/>
  <c r="Q113" i="1"/>
  <c r="Q117" i="1"/>
  <c r="Q119" i="1"/>
  <c r="Q126" i="1"/>
  <c r="Q133" i="1"/>
  <c r="Q154" i="1"/>
  <c r="Q168" i="1"/>
  <c r="Q174" i="1"/>
  <c r="Q178" i="1"/>
  <c r="Q184" i="1"/>
  <c r="Q187" i="1"/>
  <c r="Q191" i="1"/>
  <c r="Q199" i="1"/>
  <c r="Q203" i="1"/>
  <c r="Q206" i="1"/>
  <c r="Q211" i="1"/>
  <c r="Q219" i="1"/>
  <c r="Q222" i="1"/>
  <c r="Q224" i="1"/>
  <c r="Q228" i="1"/>
  <c r="Q234" i="1"/>
  <c r="Q239" i="1"/>
  <c r="Q243" i="1"/>
  <c r="Q245" i="1"/>
  <c r="Q249" i="1"/>
  <c r="Q252" i="1"/>
  <c r="Q261" i="1"/>
  <c r="Q267" i="1"/>
  <c r="Q279" i="1"/>
  <c r="Q285" i="1"/>
  <c r="Q290" i="1"/>
  <c r="Q293" i="1"/>
  <c r="Q296" i="1"/>
  <c r="Q300" i="1"/>
  <c r="Q303" i="1"/>
  <c r="Q312" i="1"/>
  <c r="Q328" i="1"/>
  <c r="Q333" i="1"/>
  <c r="Q340" i="1"/>
  <c r="Q345" i="1" s="1"/>
  <c r="Q344" i="1"/>
  <c r="Q348" i="1"/>
  <c r="Q354" i="1"/>
  <c r="Q359" i="1"/>
  <c r="Q365" i="1"/>
  <c r="Q366" i="1"/>
  <c r="Q368" i="1"/>
  <c r="Q374" i="1"/>
  <c r="P3" i="1"/>
  <c r="AC3" i="1" s="1"/>
  <c r="P22" i="1"/>
  <c r="AC22" i="1" s="1"/>
  <c r="P25" i="1"/>
  <c r="AC25" i="1" s="1"/>
  <c r="P36" i="1"/>
  <c r="AC36" i="1" s="1"/>
  <c r="P38" i="1"/>
  <c r="AC38" i="1" s="1"/>
  <c r="P41" i="1"/>
  <c r="AC41" i="1" s="1"/>
  <c r="P49" i="1"/>
  <c r="AC49" i="1" s="1"/>
  <c r="P55" i="1"/>
  <c r="P58" i="1"/>
  <c r="AC58" i="1" s="1"/>
  <c r="P61" i="1"/>
  <c r="AC61" i="1" s="1"/>
  <c r="P64" i="1"/>
  <c r="AC64" i="1" s="1"/>
  <c r="P66" i="1"/>
  <c r="AC66" i="1" s="1"/>
  <c r="P74" i="1"/>
  <c r="AC74" i="1" s="1"/>
  <c r="P83" i="1"/>
  <c r="AC83" i="1" s="1"/>
  <c r="P85" i="1"/>
  <c r="AC85" i="1" s="1"/>
  <c r="P88" i="1"/>
  <c r="AC88" i="1" s="1"/>
  <c r="P93" i="1"/>
  <c r="AC93" i="1" s="1"/>
  <c r="P95" i="1"/>
  <c r="AC95" i="1" s="1"/>
  <c r="P101" i="1"/>
  <c r="AC101" i="1" s="1"/>
  <c r="P108" i="1"/>
  <c r="AC108" i="1" s="1"/>
  <c r="P113" i="1"/>
  <c r="AC113" i="1" s="1"/>
  <c r="P117" i="1"/>
  <c r="AC117" i="1" s="1"/>
  <c r="P119" i="1"/>
  <c r="AC119" i="1" s="1"/>
  <c r="P126" i="1"/>
  <c r="AC126" i="1" s="1"/>
  <c r="P133" i="1"/>
  <c r="AC133" i="1" s="1"/>
  <c r="P154" i="1"/>
  <c r="AC154" i="1" s="1"/>
  <c r="P168" i="1"/>
  <c r="AC168" i="1" s="1"/>
  <c r="P174" i="1"/>
  <c r="AC174" i="1" s="1"/>
  <c r="P178" i="1"/>
  <c r="AC178" i="1" s="1"/>
  <c r="P184" i="1"/>
  <c r="AC184" i="1" s="1"/>
  <c r="P187" i="1"/>
  <c r="AC187" i="1" s="1"/>
  <c r="P191" i="1"/>
  <c r="AC191" i="1" s="1"/>
  <c r="P199" i="1"/>
  <c r="AC199" i="1" s="1"/>
  <c r="P203" i="1"/>
  <c r="AC203" i="1" s="1"/>
  <c r="P206" i="1"/>
  <c r="AC206" i="1" s="1"/>
  <c r="P211" i="1"/>
  <c r="AC211" i="1" s="1"/>
  <c r="P219" i="1"/>
  <c r="AC219" i="1" s="1"/>
  <c r="P222" i="1"/>
  <c r="AC222" i="1" s="1"/>
  <c r="P224" i="1"/>
  <c r="AC224" i="1" s="1"/>
  <c r="P228" i="1"/>
  <c r="AC228" i="1" s="1"/>
  <c r="P234" i="1"/>
  <c r="AC234" i="1" s="1"/>
  <c r="P239" i="1"/>
  <c r="AC239" i="1" s="1"/>
  <c r="P243" i="1"/>
  <c r="AC243" i="1" s="1"/>
  <c r="P245" i="1"/>
  <c r="P249" i="1"/>
  <c r="AC249" i="1" s="1"/>
  <c r="P252" i="1"/>
  <c r="AC252" i="1" s="1"/>
  <c r="P261" i="1"/>
  <c r="AC261" i="1" s="1"/>
  <c r="P267" i="1"/>
  <c r="AC267" i="1" s="1"/>
  <c r="P279" i="1"/>
  <c r="AC279" i="1" s="1"/>
  <c r="P285" i="1"/>
  <c r="AC285" i="1" s="1"/>
  <c r="P290" i="1"/>
  <c r="AC290" i="1" s="1"/>
  <c r="P293" i="1"/>
  <c r="AC293" i="1" s="1"/>
  <c r="P296" i="1"/>
  <c r="AC296" i="1" s="1"/>
  <c r="P300" i="1"/>
  <c r="AC300" i="1" s="1"/>
  <c r="P303" i="1"/>
  <c r="AC303" i="1" s="1"/>
  <c r="P312" i="1"/>
  <c r="AC312" i="1" s="1"/>
  <c r="P328" i="1"/>
  <c r="P333" i="1"/>
  <c r="AC333" i="1" s="1"/>
  <c r="P340" i="1"/>
  <c r="AC337" i="1"/>
  <c r="P344" i="1"/>
  <c r="AC344" i="1" s="1"/>
  <c r="P348" i="1"/>
  <c r="AC348" i="1" s="1"/>
  <c r="P354" i="1"/>
  <c r="AC354" i="1" s="1"/>
  <c r="P359" i="1"/>
  <c r="AC359" i="1" s="1"/>
  <c r="P365" i="1"/>
  <c r="AC365" i="1" s="1"/>
  <c r="P366" i="1"/>
  <c r="AC366" i="1" s="1"/>
  <c r="P368" i="1"/>
  <c r="AC368" i="1" s="1"/>
  <c r="P374" i="1"/>
  <c r="AC374" i="1" s="1"/>
  <c r="O3" i="1"/>
  <c r="O22" i="1"/>
  <c r="O25" i="1"/>
  <c r="O36" i="1"/>
  <c r="O38" i="1"/>
  <c r="O41" i="1"/>
  <c r="O49" i="1"/>
  <c r="O55" i="1"/>
  <c r="O58" i="1"/>
  <c r="O61" i="1"/>
  <c r="O64" i="1"/>
  <c r="O66" i="1"/>
  <c r="O70" i="1"/>
  <c r="O74" i="1"/>
  <c r="O83" i="1"/>
  <c r="O85" i="1"/>
  <c r="O88" i="1"/>
  <c r="O93" i="1"/>
  <c r="O95" i="1"/>
  <c r="O101" i="1"/>
  <c r="O108" i="1"/>
  <c r="O113" i="1"/>
  <c r="O117" i="1"/>
  <c r="O119" i="1"/>
  <c r="O126" i="1"/>
  <c r="O133" i="1"/>
  <c r="O154" i="1"/>
  <c r="O168" i="1"/>
  <c r="O174" i="1"/>
  <c r="O178" i="1"/>
  <c r="O184" i="1"/>
  <c r="O187" i="1"/>
  <c r="O191" i="1"/>
  <c r="O199" i="1"/>
  <c r="O203" i="1"/>
  <c r="O206" i="1"/>
  <c r="O211" i="1"/>
  <c r="O219" i="1"/>
  <c r="O222" i="1"/>
  <c r="O224" i="1"/>
  <c r="O228" i="1"/>
  <c r="O230" i="1" s="1"/>
  <c r="O234" i="1"/>
  <c r="O239" i="1"/>
  <c r="O243" i="1"/>
  <c r="O245" i="1"/>
  <c r="O249" i="1"/>
  <c r="O252" i="1"/>
  <c r="O261" i="1"/>
  <c r="O267" i="1"/>
  <c r="O279" i="1"/>
  <c r="O285" i="1"/>
  <c r="O290" i="1"/>
  <c r="O293" i="1"/>
  <c r="O296" i="1"/>
  <c r="O300" i="1"/>
  <c r="O303" i="1"/>
  <c r="O312" i="1"/>
  <c r="O328" i="1"/>
  <c r="O333" i="1"/>
  <c r="O340" i="1"/>
  <c r="O344" i="1"/>
  <c r="O348" i="1"/>
  <c r="O354" i="1"/>
  <c r="O359" i="1"/>
  <c r="O365" i="1"/>
  <c r="O366" i="1"/>
  <c r="O368" i="1"/>
  <c r="O374" i="1"/>
  <c r="S349" i="1" l="1"/>
  <c r="AA55" i="1"/>
  <c r="AC340" i="1"/>
  <c r="P345" i="1"/>
  <c r="P349" i="1" s="1"/>
  <c r="AC349" i="1" s="1"/>
  <c r="AC328" i="1"/>
  <c r="AB340" i="1"/>
  <c r="U345" i="1"/>
  <c r="U349" i="1" s="1"/>
  <c r="AB349" i="1" s="1"/>
  <c r="AC245" i="1"/>
  <c r="P253" i="1"/>
  <c r="AC253" i="1" s="1"/>
  <c r="U360" i="1"/>
  <c r="AB360" i="1" s="1"/>
  <c r="AB354" i="1"/>
  <c r="P59" i="1"/>
  <c r="AC59" i="1" s="1"/>
  <c r="AC55" i="1"/>
  <c r="Q375" i="1"/>
  <c r="V187" i="1"/>
  <c r="AB187" i="1" s="1"/>
  <c r="AB185" i="1"/>
  <c r="V245" i="1"/>
  <c r="AB245" i="1" s="1"/>
  <c r="AB244" i="1"/>
  <c r="Q59" i="1"/>
  <c r="V70" i="1"/>
  <c r="AB70" i="1" s="1"/>
  <c r="V211" i="1"/>
  <c r="AB211" i="1" s="1"/>
  <c r="AB210" i="1"/>
  <c r="V38" i="1"/>
  <c r="AB38" i="1" s="1"/>
  <c r="AB37" i="1"/>
  <c r="V66" i="1"/>
  <c r="AB66" i="1" s="1"/>
  <c r="AB65" i="1"/>
  <c r="V88" i="1"/>
  <c r="AB88" i="1" s="1"/>
  <c r="AB86" i="1"/>
  <c r="V113" i="1"/>
  <c r="AB113" i="1" s="1"/>
  <c r="AB109" i="1"/>
  <c r="V174" i="1"/>
  <c r="AB174" i="1" s="1"/>
  <c r="AB171" i="1"/>
  <c r="V243" i="1"/>
  <c r="AB243" i="1" s="1"/>
  <c r="AB241" i="1"/>
  <c r="AA344" i="1"/>
  <c r="Y349" i="1"/>
  <c r="AA349" i="1" s="1"/>
  <c r="Q360" i="1"/>
  <c r="Q230" i="1"/>
  <c r="V85" i="1"/>
  <c r="AB85" i="1" s="1"/>
  <c r="AB84" i="1"/>
  <c r="V101" i="1"/>
  <c r="AB101" i="1" s="1"/>
  <c r="AB96" i="1"/>
  <c r="V340" i="1"/>
  <c r="V345" i="1" s="1"/>
  <c r="V240" i="1"/>
  <c r="AB240" i="1" s="1"/>
  <c r="V219" i="1"/>
  <c r="AB219" i="1" s="1"/>
  <c r="AB214" i="1"/>
  <c r="V25" i="1"/>
  <c r="AB25" i="1" s="1"/>
  <c r="AB23" i="1"/>
  <c r="V41" i="1"/>
  <c r="AB41" i="1" s="1"/>
  <c r="AB39" i="1"/>
  <c r="V64" i="1"/>
  <c r="AB64" i="1" s="1"/>
  <c r="AB62" i="1"/>
  <c r="V178" i="1"/>
  <c r="AB178" i="1" s="1"/>
  <c r="AB176" i="1"/>
  <c r="V58" i="1"/>
  <c r="AB58" i="1" s="1"/>
  <c r="AB57" i="1"/>
  <c r="V61" i="1"/>
  <c r="AB61" i="1" s="1"/>
  <c r="AB60" i="1"/>
  <c r="V290" i="1"/>
  <c r="AB287" i="1"/>
  <c r="V303" i="1"/>
  <c r="V333" i="1"/>
  <c r="Q272" i="1"/>
  <c r="Q286" i="1" s="1"/>
  <c r="Q220" i="1"/>
  <c r="V368" i="1"/>
  <c r="V375" i="1" s="1"/>
  <c r="V203" i="1"/>
  <c r="AB203" i="1" s="1"/>
  <c r="AB200" i="1"/>
  <c r="Q240" i="1"/>
  <c r="Q50" i="1"/>
  <c r="V3" i="1"/>
  <c r="AB3" i="1" s="1"/>
  <c r="AB2" i="1"/>
  <c r="V49" i="1"/>
  <c r="AB49" i="1" s="1"/>
  <c r="AB42" i="1"/>
  <c r="V74" i="1"/>
  <c r="AB74" i="1" s="1"/>
  <c r="AB72" i="1"/>
  <c r="V184" i="1"/>
  <c r="AB184" i="1" s="1"/>
  <c r="AB181" i="1"/>
  <c r="V191" i="1"/>
  <c r="AB191" i="1" s="1"/>
  <c r="AB189" i="1"/>
  <c r="V224" i="1"/>
  <c r="AB224" i="1" s="1"/>
  <c r="AB223" i="1"/>
  <c r="V228" i="1"/>
  <c r="AB228" i="1" s="1"/>
  <c r="AB226" i="1"/>
  <c r="V249" i="1"/>
  <c r="AB249" i="1" s="1"/>
  <c r="AB246" i="1"/>
  <c r="V296" i="1"/>
  <c r="V366" i="1"/>
  <c r="P375" i="1"/>
  <c r="AC375" i="1" s="1"/>
  <c r="P220" i="1"/>
  <c r="AC220" i="1" s="1"/>
  <c r="U240" i="1"/>
  <c r="R26" i="1"/>
  <c r="V279" i="1"/>
  <c r="V344" i="1"/>
  <c r="U375" i="1"/>
  <c r="AB375" i="1" s="1"/>
  <c r="V36" i="1"/>
  <c r="AB36" i="1" s="1"/>
  <c r="V312" i="1"/>
  <c r="U272" i="1"/>
  <c r="U286" i="1" s="1"/>
  <c r="U220" i="1"/>
  <c r="P240" i="1"/>
  <c r="AC240" i="1" s="1"/>
  <c r="U230" i="1"/>
  <c r="P361" i="1"/>
  <c r="AC361" i="1" s="1"/>
  <c r="P272" i="1"/>
  <c r="AC272" i="1" s="1"/>
  <c r="P230" i="1"/>
  <c r="AC230" i="1" s="1"/>
  <c r="P50" i="1"/>
  <c r="AC50" i="1" s="1"/>
  <c r="U361" i="1"/>
  <c r="AB361" i="1" s="1"/>
  <c r="U50" i="1"/>
  <c r="T220" i="1"/>
  <c r="T50" i="1"/>
  <c r="P71" i="1"/>
  <c r="AC71" i="1" s="1"/>
  <c r="W249" i="1"/>
  <c r="W253" i="1" s="1"/>
  <c r="Y59" i="1"/>
  <c r="V267" i="1"/>
  <c r="AB267" i="1" s="1"/>
  <c r="R286" i="1"/>
  <c r="R170" i="1"/>
  <c r="W293" i="1"/>
  <c r="W219" i="1"/>
  <c r="V126" i="1"/>
  <c r="AB126" i="1" s="1"/>
  <c r="V365" i="1"/>
  <c r="W85" i="1"/>
  <c r="V354" i="1"/>
  <c r="W41" i="1"/>
  <c r="W50" i="1" s="1"/>
  <c r="W93" i="1"/>
  <c r="Q349" i="1"/>
  <c r="Q170" i="1"/>
  <c r="Q26" i="1"/>
  <c r="V22" i="1"/>
  <c r="V261" i="1"/>
  <c r="AB261" i="1" s="1"/>
  <c r="V293" i="1"/>
  <c r="U127" i="1"/>
  <c r="S170" i="1"/>
  <c r="N170" i="1"/>
  <c r="P70" i="1"/>
  <c r="AC70" i="1" s="1"/>
  <c r="R313" i="1"/>
  <c r="R253" i="1"/>
  <c r="R263" i="1" s="1"/>
  <c r="W187" i="1"/>
  <c r="U207" i="1"/>
  <c r="U26" i="1"/>
  <c r="N127" i="1"/>
  <c r="P360" i="1"/>
  <c r="AC360" i="1" s="1"/>
  <c r="V199" i="1"/>
  <c r="U313" i="1"/>
  <c r="AB313" i="1" s="1"/>
  <c r="R349" i="1"/>
  <c r="T272" i="1"/>
  <c r="S253" i="1"/>
  <c r="S263" i="1" s="1"/>
  <c r="W344" i="1"/>
  <c r="N253" i="1"/>
  <c r="N263" i="1" s="1"/>
  <c r="V206" i="1"/>
  <c r="AB206" i="1" s="1"/>
  <c r="U170" i="1"/>
  <c r="O375" i="1"/>
  <c r="T361" i="1"/>
  <c r="S361" i="1"/>
  <c r="P26" i="1"/>
  <c r="AC26" i="1" s="1"/>
  <c r="R127" i="1"/>
  <c r="R71" i="1"/>
  <c r="T360" i="1"/>
  <c r="T127" i="1"/>
  <c r="S71" i="1"/>
  <c r="W199" i="1"/>
  <c r="W207" i="1" s="1"/>
  <c r="W126" i="1"/>
  <c r="N26" i="1"/>
  <c r="U253" i="1"/>
  <c r="V154" i="1"/>
  <c r="V300" i="1"/>
  <c r="V359" i="1"/>
  <c r="P127" i="1"/>
  <c r="AC127" i="1" s="1"/>
  <c r="Q253" i="1"/>
  <c r="T349" i="1"/>
  <c r="T313" i="1"/>
  <c r="S26" i="1"/>
  <c r="W290" i="1"/>
  <c r="W228" i="1"/>
  <c r="W184" i="1"/>
  <c r="N313" i="1"/>
  <c r="V93" i="1"/>
  <c r="AB93" i="1" s="1"/>
  <c r="V374" i="1"/>
  <c r="U71" i="1"/>
  <c r="S127" i="1"/>
  <c r="O361" i="1"/>
  <c r="O170" i="1"/>
  <c r="P313" i="1"/>
  <c r="AC313" i="1" s="1"/>
  <c r="P170" i="1"/>
  <c r="AC170" i="1" s="1"/>
  <c r="Q313" i="1"/>
  <c r="R361" i="1"/>
  <c r="T170" i="1"/>
  <c r="W359" i="1"/>
  <c r="N361" i="1"/>
  <c r="X225" i="1"/>
  <c r="X377" i="1" s="1"/>
  <c r="Q127" i="1"/>
  <c r="Q71" i="1"/>
  <c r="T230" i="1"/>
  <c r="S313" i="1"/>
  <c r="W354" i="1"/>
  <c r="W267" i="1"/>
  <c r="W36" i="1"/>
  <c r="N349" i="1"/>
  <c r="N71" i="1"/>
  <c r="W328" i="1"/>
  <c r="O360" i="1"/>
  <c r="O253" i="1"/>
  <c r="O71" i="1"/>
  <c r="O50" i="1"/>
  <c r="T240" i="1"/>
  <c r="T59" i="1"/>
  <c r="T26" i="1"/>
  <c r="W211" i="1"/>
  <c r="W58" i="1"/>
  <c r="W25" i="1"/>
  <c r="V55" i="1"/>
  <c r="W368" i="1"/>
  <c r="W312" i="1"/>
  <c r="W234" i="1"/>
  <c r="W206" i="1"/>
  <c r="W74" i="1"/>
  <c r="W55" i="1"/>
  <c r="W22" i="1"/>
  <c r="N207" i="1"/>
  <c r="W375" i="1"/>
  <c r="W279" i="1"/>
  <c r="P207" i="1"/>
  <c r="AC207" i="1" s="1"/>
  <c r="W366" i="1"/>
  <c r="W374" i="1"/>
  <c r="O349" i="1"/>
  <c r="O313" i="1"/>
  <c r="T253" i="1"/>
  <c r="W365" i="1"/>
  <c r="W300" i="1"/>
  <c r="W261" i="1"/>
  <c r="W154" i="1"/>
  <c r="W70" i="1"/>
  <c r="W49" i="1"/>
  <c r="O220" i="1"/>
  <c r="Q361" i="1"/>
  <c r="T207" i="1"/>
  <c r="V328" i="1"/>
  <c r="W340" i="1"/>
  <c r="W345" i="1" s="1"/>
  <c r="W296" i="1"/>
  <c r="W66" i="1"/>
  <c r="S286" i="1"/>
  <c r="W303" i="1"/>
  <c r="O127" i="1"/>
  <c r="T71" i="1"/>
  <c r="O272" i="1"/>
  <c r="O240" i="1"/>
  <c r="O59" i="1"/>
  <c r="O26" i="1"/>
  <c r="Q207" i="1"/>
  <c r="R207" i="1"/>
  <c r="T375" i="1"/>
  <c r="W333" i="1"/>
  <c r="W127" i="1"/>
  <c r="W64" i="1"/>
  <c r="W38" i="1"/>
  <c r="N286" i="1"/>
  <c r="O207" i="1"/>
  <c r="S207" i="1"/>
  <c r="AA59" i="1" l="1"/>
  <c r="V127" i="1"/>
  <c r="AB127" i="1" s="1"/>
  <c r="V272" i="1"/>
  <c r="AB272" i="1" s="1"/>
  <c r="V50" i="1"/>
  <c r="AB50" i="1" s="1"/>
  <c r="V220" i="1"/>
  <c r="AB220" i="1" s="1"/>
  <c r="V230" i="1"/>
  <c r="AB230" i="1" s="1"/>
  <c r="AA64" i="1"/>
  <c r="Y71" i="1"/>
  <c r="AA71" i="1" s="1"/>
  <c r="V71" i="1"/>
  <c r="AB71" i="1" s="1"/>
  <c r="V253" i="1"/>
  <c r="AB253" i="1" s="1"/>
  <c r="V360" i="1"/>
  <c r="V59" i="1"/>
  <c r="AB59" i="1" s="1"/>
  <c r="AB55" i="1"/>
  <c r="V207" i="1"/>
  <c r="AB207" i="1" s="1"/>
  <c r="AB199" i="1"/>
  <c r="AB279" i="1"/>
  <c r="V349" i="1"/>
  <c r="Q263" i="1"/>
  <c r="V170" i="1"/>
  <c r="AB170" i="1" s="1"/>
  <c r="AB154" i="1"/>
  <c r="V26" i="1"/>
  <c r="AB26" i="1" s="1"/>
  <c r="AB22" i="1"/>
  <c r="U225" i="1"/>
  <c r="P286" i="1"/>
  <c r="AC286" i="1" s="1"/>
  <c r="P263" i="1"/>
  <c r="AC263" i="1" s="1"/>
  <c r="U263" i="1"/>
  <c r="V361" i="1"/>
  <c r="T286" i="1"/>
  <c r="V313" i="1"/>
  <c r="W360" i="1"/>
  <c r="P225" i="1"/>
  <c r="W361" i="1"/>
  <c r="N225" i="1"/>
  <c r="N377" i="1" s="1"/>
  <c r="W59" i="1"/>
  <c r="Q225" i="1"/>
  <c r="W272" i="1"/>
  <c r="W286" i="1" s="1"/>
  <c r="W230" i="1"/>
  <c r="R225" i="1"/>
  <c r="R377" i="1" s="1"/>
  <c r="W71" i="1"/>
  <c r="W220" i="1"/>
  <c r="O225" i="1"/>
  <c r="O286" i="1"/>
  <c r="W313" i="1"/>
  <c r="W349" i="1"/>
  <c r="W26" i="1"/>
  <c r="W170" i="1"/>
  <c r="O263" i="1"/>
  <c r="W240" i="1"/>
  <c r="T263" i="1"/>
  <c r="T225" i="1"/>
  <c r="S225" i="1"/>
  <c r="S377" i="1" s="1"/>
  <c r="Y225" i="1" l="1"/>
  <c r="AA225" i="1" s="1"/>
  <c r="V286" i="1"/>
  <c r="AB286" i="1" s="1"/>
  <c r="U377" i="1"/>
  <c r="AB377" i="1" s="1"/>
  <c r="P377" i="1"/>
  <c r="AC377" i="1" s="1"/>
  <c r="AC225" i="1"/>
  <c r="V263" i="1"/>
  <c r="AB263" i="1" s="1"/>
  <c r="Q377" i="1"/>
  <c r="V225" i="1"/>
  <c r="AB225" i="1" s="1"/>
  <c r="W263" i="1"/>
  <c r="O377" i="1"/>
  <c r="T377" i="1"/>
  <c r="W225" i="1"/>
  <c r="Y377" i="1" l="1"/>
  <c r="AA377" i="1" s="1"/>
  <c r="V377" i="1"/>
  <c r="W377" i="1"/>
</calcChain>
</file>

<file path=xl/sharedStrings.xml><?xml version="1.0" encoding="utf-8"?>
<sst xmlns="http://schemas.openxmlformats.org/spreadsheetml/2006/main" count="1276" uniqueCount="504">
  <si>
    <t>COL</t>
  </si>
  <si>
    <t>DIV</t>
  </si>
  <si>
    <t>PROG</t>
  </si>
  <si>
    <t>Old code</t>
  </si>
  <si>
    <t>Major code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</si>
  <si>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</si>
  <si>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</si>
  <si>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</si>
  <si>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</si>
  <si>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</si>
  <si>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</si>
  <si>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</si>
  <si>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</si>
  <si>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</si>
  <si>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</si>
  <si>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One -year % change
% Change</t>
  </si>
  <si>
    <t>Five -year % change
% Change</t>
  </si>
  <si>
    <t>Ten -year % change
% Change</t>
  </si>
  <si>
    <t>AS</t>
  </si>
  <si>
    <t>A&amp;AH</t>
  </si>
  <si>
    <t>AH</t>
  </si>
  <si>
    <t>Art History  (BA)</t>
  </si>
  <si>
    <t>AH Total</t>
  </si>
  <si>
    <t>SA</t>
  </si>
  <si>
    <t>Studio Art</t>
  </si>
  <si>
    <t>Studio Art K-12</t>
  </si>
  <si>
    <t>Studio Art K-12-Prof</t>
  </si>
  <si>
    <t>Studio Art-Spec in Drawing</t>
  </si>
  <si>
    <t>Studio Art K-12-Spec in Drawing</t>
  </si>
  <si>
    <t>Studio Art K-12-Spec in Drawing-Prof</t>
  </si>
  <si>
    <t>Studio Art-Spec in Painting</t>
  </si>
  <si>
    <t>Studio Art K-12 -Spec in Painting</t>
  </si>
  <si>
    <t>Studio Art K-12 -Spec in Painting-Prof</t>
  </si>
  <si>
    <t>Studio Art-Spec inPhotography</t>
  </si>
  <si>
    <t>Studio Art K-12-Spec inPhotography</t>
  </si>
  <si>
    <t>Studio Art K-12-Spec inPhoto/Prof</t>
  </si>
  <si>
    <t>Studio Art-Spec in New Media</t>
  </si>
  <si>
    <t>Studio Art K-12-Spec in New Media</t>
  </si>
  <si>
    <t>Studio Art K-12-Spec in New Media/Prof</t>
  </si>
  <si>
    <t>Studio Art K-12 Sp Graphc Dsgn</t>
  </si>
  <si>
    <t>SA Total</t>
  </si>
  <si>
    <t>SAGD</t>
  </si>
  <si>
    <t>Pre-Graphic Design</t>
  </si>
  <si>
    <t>Graphic Design</t>
  </si>
  <si>
    <t>SAGD Total</t>
  </si>
  <si>
    <t>A&amp;AH Total</t>
  </si>
  <si>
    <t>BIO</t>
  </si>
  <si>
    <t>Biology  (BA-BS)</t>
  </si>
  <si>
    <t>652&amp;642</t>
  </si>
  <si>
    <t>Pre-biomedical Sciences</t>
  </si>
  <si>
    <t>Biomedical Sciences</t>
  </si>
  <si>
    <t>Biology- Spec. Cell/ Molecular Bio</t>
  </si>
  <si>
    <t>Biology- Spec. Anatomy</t>
  </si>
  <si>
    <t>Modified Biology major 
w/spec Microbiology</t>
  </si>
  <si>
    <t>Biology with Certification</t>
  </si>
  <si>
    <t>1140 &amp;1141</t>
  </si>
  <si>
    <t>Biology Sec. Edu</t>
  </si>
  <si>
    <t>BIO Total</t>
  </si>
  <si>
    <t>BCM</t>
  </si>
  <si>
    <t>Biochemistry  (BS)</t>
  </si>
  <si>
    <t>BCM Total</t>
  </si>
  <si>
    <t>CHM</t>
  </si>
  <si>
    <t>Chemistry (BS)</t>
  </si>
  <si>
    <t>Chemistry with Sec. Cert.</t>
  </si>
  <si>
    <t>1240&amp;1241</t>
  </si>
  <si>
    <t>CHM Total</t>
  </si>
  <si>
    <t>ENV</t>
  </si>
  <si>
    <t>Env Sci Spec Env Sustn Res Mgt</t>
  </si>
  <si>
    <t>Env Sci Spec Env Health</t>
  </si>
  <si>
    <t>Env. Sci -Spec Public Health</t>
  </si>
  <si>
    <t>1245&amp;1246</t>
  </si>
  <si>
    <t xml:space="preserve">Env.Sci Spec Env/Res Mgt </t>
  </si>
  <si>
    <t>1250&amp; 1251</t>
  </si>
  <si>
    <t>Env. Sci -Spec Occ Health Safety</t>
  </si>
  <si>
    <t>1255&amp; 1256</t>
  </si>
  <si>
    <t>Environmental Sci -Toxic Sub Control</t>
  </si>
  <si>
    <t>1260&amp;1261</t>
  </si>
  <si>
    <t>Environmental Sci (BS)</t>
  </si>
  <si>
    <t>1265&amp;1266</t>
  </si>
  <si>
    <t>ENV Total</t>
  </si>
  <si>
    <t>COM_JRN</t>
  </si>
  <si>
    <t>COM</t>
  </si>
  <si>
    <t>Communication Arts (BA)</t>
  </si>
  <si>
    <t>647&amp; 646</t>
  </si>
  <si>
    <t>Communication w/concent in Linguistics</t>
  </si>
  <si>
    <t>COM Total</t>
  </si>
  <si>
    <t>JRN</t>
  </si>
  <si>
    <t>Pre-Journalism</t>
  </si>
  <si>
    <t>Journalism (BA)</t>
  </si>
  <si>
    <t>JRN Total</t>
  </si>
  <si>
    <t>COM_JRN Total</t>
  </si>
  <si>
    <t>ECN</t>
  </si>
  <si>
    <t>Economics (BA)</t>
  </si>
  <si>
    <t>ECN Total</t>
  </si>
  <si>
    <t>ENG</t>
  </si>
  <si>
    <t>CIN</t>
  </si>
  <si>
    <t>Cinema Studies</t>
  </si>
  <si>
    <t>CIN Total</t>
  </si>
  <si>
    <t>CW</t>
  </si>
  <si>
    <t>Creative Writing</t>
  </si>
  <si>
    <t>CW Total</t>
  </si>
  <si>
    <t>English (BA)</t>
  </si>
  <si>
    <t>English with Conc. Linguistics</t>
  </si>
  <si>
    <t>English with Secondary Certification</t>
  </si>
  <si>
    <t>1430 &amp;1431</t>
  </si>
  <si>
    <t>ENG Total</t>
  </si>
  <si>
    <t>HST</t>
  </si>
  <si>
    <t>History (BA)</t>
  </si>
  <si>
    <t>History with Certification</t>
  </si>
  <si>
    <t>1515 &amp; 1516</t>
  </si>
  <si>
    <t>HST Total</t>
  </si>
  <si>
    <t>IS</t>
  </si>
  <si>
    <t>International Studies</t>
  </si>
  <si>
    <t>African American Studies (BA)</t>
  </si>
  <si>
    <t>East Asian Studies-China</t>
  </si>
  <si>
    <t>Japanese Studies</t>
  </si>
  <si>
    <t>1614/1615</t>
  </si>
  <si>
    <t>South Asian Studies</t>
  </si>
  <si>
    <t>Latin American Studies (BA)</t>
  </si>
  <si>
    <t>Slavic Studies</t>
  </si>
  <si>
    <t>IS Total</t>
  </si>
  <si>
    <t>LBS</t>
  </si>
  <si>
    <t>Liberal Studies</t>
  </si>
  <si>
    <t>LBS Total</t>
  </si>
  <si>
    <t>LIN</t>
  </si>
  <si>
    <t>Linguistics (BA)</t>
  </si>
  <si>
    <t>Linguistics-modified with Comp Sci</t>
  </si>
  <si>
    <t>LIN Total</t>
  </si>
  <si>
    <t>MAT</t>
  </si>
  <si>
    <t>MTH</t>
  </si>
  <si>
    <t>Mathematics (BS-BA)</t>
  </si>
  <si>
    <t>643&amp; 633</t>
  </si>
  <si>
    <t>Applied Statistics (BS)</t>
  </si>
  <si>
    <t>Actuarial Science</t>
  </si>
  <si>
    <t>Mathematics with Certification</t>
  </si>
  <si>
    <t>1825 &amp; 1826</t>
  </si>
  <si>
    <t>MAT Total</t>
  </si>
  <si>
    <t>MLL</t>
  </si>
  <si>
    <t>CHE</t>
  </si>
  <si>
    <t>Chinese Language/Civilization</t>
  </si>
  <si>
    <t>CHE Total</t>
  </si>
  <si>
    <t>FRH</t>
  </si>
  <si>
    <t>French Language/Literature (BA)</t>
  </si>
  <si>
    <t>Modified Major in French</t>
  </si>
  <si>
    <t>French with K-12 Certification</t>
  </si>
  <si>
    <t>French with K-12 Cert/Prof</t>
  </si>
  <si>
    <t>French with Secondary Certification</t>
  </si>
  <si>
    <t>1990 &amp;1991</t>
  </si>
  <si>
    <t>FRH Total</t>
  </si>
  <si>
    <t>GRM</t>
  </si>
  <si>
    <t>German Language/Literature (BA)</t>
  </si>
  <si>
    <t>German w/concentration in German Studies</t>
  </si>
  <si>
    <t>Modified Major in German</t>
  </si>
  <si>
    <t>German with Secondary Certification</t>
  </si>
  <si>
    <t>German with K-12 Certification</t>
  </si>
  <si>
    <t>German with K-12 Cert/Prof</t>
  </si>
  <si>
    <t>GRM Total</t>
  </si>
  <si>
    <t>JPN</t>
  </si>
  <si>
    <t>Japanese Language/Literature</t>
  </si>
  <si>
    <t>Japanese w/K-12 Certification</t>
  </si>
  <si>
    <t>JPN Total</t>
  </si>
  <si>
    <t>RUS</t>
  </si>
  <si>
    <t>Russian Language &amp; Civilization (BA)</t>
  </si>
  <si>
    <t>Modified Major in Russian</t>
  </si>
  <si>
    <t>Russian with Secondary Certification</t>
  </si>
  <si>
    <t>RUS Total</t>
  </si>
  <si>
    <t>Two Modern Languages (BA)</t>
  </si>
  <si>
    <t>MLL Total</t>
  </si>
  <si>
    <t>SPN</t>
  </si>
  <si>
    <t>Latin American Language/Civilization (BA)</t>
  </si>
  <si>
    <t>Spanish Language/Literature (BA)</t>
  </si>
  <si>
    <t>Modified Major in Spanish</t>
  </si>
  <si>
    <t>Spanish with K-12 Cert</t>
  </si>
  <si>
    <t>Spanish with K-12 Cert/Prof</t>
  </si>
  <si>
    <t>Spanish with Secondary Certification</t>
  </si>
  <si>
    <t>2120 &amp;2121</t>
  </si>
  <si>
    <t>SPN Total</t>
  </si>
  <si>
    <t>MTD</t>
  </si>
  <si>
    <t>DAN</t>
  </si>
  <si>
    <t>Pre-Dance</t>
  </si>
  <si>
    <t>Performing Arts-Dance (BAPA)</t>
  </si>
  <si>
    <t>Dance (BFA)</t>
  </si>
  <si>
    <t>DAN Total</t>
  </si>
  <si>
    <t>MUS</t>
  </si>
  <si>
    <t>Pre-Music</t>
  </si>
  <si>
    <t>Pre-Music Education</t>
  </si>
  <si>
    <t>Pre-Vocal Performance</t>
  </si>
  <si>
    <t>Music: Vocal Performance (BM)</t>
  </si>
  <si>
    <t>Music: Sacred Music</t>
  </si>
  <si>
    <t>Pre-Piano Performance</t>
  </si>
  <si>
    <t>Music: Piano Performance (BM)</t>
  </si>
  <si>
    <t>Music:Composition (BM)</t>
  </si>
  <si>
    <t>Music: Organ Performance (BM)</t>
  </si>
  <si>
    <t>Pre-Instrumental Performance</t>
  </si>
  <si>
    <t>Music: Instrumental Performance(BM)</t>
  </si>
  <si>
    <t>Pre-Music Ed Choral/General</t>
  </si>
  <si>
    <t>Pre-Mus Ed Instrumental/General</t>
  </si>
  <si>
    <t>Music (BA)</t>
  </si>
  <si>
    <t>316 &amp; 616</t>
  </si>
  <si>
    <t>2205 &amp; 2300</t>
  </si>
  <si>
    <t>Music Education (BM)</t>
  </si>
  <si>
    <t>2275 &amp; 2276</t>
  </si>
  <si>
    <t>Music Ed Choral/General</t>
  </si>
  <si>
    <t>2360/2270</t>
  </si>
  <si>
    <t>Instrumental/General Music Ed (BM)</t>
  </si>
  <si>
    <t>2362/2272</t>
  </si>
  <si>
    <t>Choral/Gen Mus Ed/Performance (BM)</t>
  </si>
  <si>
    <t>2363/2279</t>
  </si>
  <si>
    <t>Instru/Gen Music Ed/Performance(BM)</t>
  </si>
  <si>
    <t>2364/2278</t>
  </si>
  <si>
    <t>MUS Total</t>
  </si>
  <si>
    <t>THA</t>
  </si>
  <si>
    <t>Performing Arts-Musical Theatre (BAPA)</t>
  </si>
  <si>
    <t>Perform Arts-Theatre Perf</t>
  </si>
  <si>
    <t>Perform Arts-Theatre Production</t>
  </si>
  <si>
    <t>Pre-Acting</t>
  </si>
  <si>
    <t>Acting (BFA)</t>
  </si>
  <si>
    <t>Pre-Musical Theatre</t>
  </si>
  <si>
    <t>Musical Theatre (BFA)</t>
  </si>
  <si>
    <t>Perform. Arts-Theatre Perform. (BAPA)</t>
  </si>
  <si>
    <t>Perform Arts-Theatre Prod (BAPA)</t>
  </si>
  <si>
    <t>Theatre (BA)</t>
  </si>
  <si>
    <t>Pre-Theatre Design/Theatre Design&amp; Tech</t>
  </si>
  <si>
    <t>Theatre Design &amp; Technology (BFA)</t>
  </si>
  <si>
    <t>Theatre Arts</t>
  </si>
  <si>
    <t>THA Total</t>
  </si>
  <si>
    <t>Performing Arts</t>
  </si>
  <si>
    <t>MTD Total</t>
  </si>
  <si>
    <t>PHL</t>
  </si>
  <si>
    <t>Philosophy (BA)</t>
  </si>
  <si>
    <t>Philosophy_Modified</t>
  </si>
  <si>
    <t>Philosophy w/Conc Linguistics</t>
  </si>
  <si>
    <t>PHL Total</t>
  </si>
  <si>
    <t>PHY</t>
  </si>
  <si>
    <t>Physics (BS-BA)</t>
  </si>
  <si>
    <t>653&amp;644</t>
  </si>
  <si>
    <t>Medical Physics (BS)</t>
  </si>
  <si>
    <t>Physics with Certification</t>
  </si>
  <si>
    <t>2430 &amp; 2431</t>
  </si>
  <si>
    <t>PHY Total</t>
  </si>
  <si>
    <t>PS</t>
  </si>
  <si>
    <t>Pre-Political Science</t>
  </si>
  <si>
    <t>International Relations (BA)</t>
  </si>
  <si>
    <t>Political Science (BA)</t>
  </si>
  <si>
    <t>Pre-Public Administration/Public Policy</t>
  </si>
  <si>
    <t>Public Administration/Public Policy (BS.)</t>
  </si>
  <si>
    <t>PS Total</t>
  </si>
  <si>
    <t>PSY</t>
  </si>
  <si>
    <t>Psychology (BA)</t>
  </si>
  <si>
    <t>Psychology w/concentration in Linguistics</t>
  </si>
  <si>
    <t>PSY Total</t>
  </si>
  <si>
    <t>SOC_AN_SW_CJ</t>
  </si>
  <si>
    <t>AN</t>
  </si>
  <si>
    <t>Anthropology/Sociology</t>
  </si>
  <si>
    <t>Anthropology (BA)</t>
  </si>
  <si>
    <t>Anthropology/Concentration in Linguistics</t>
  </si>
  <si>
    <t>AN Total</t>
  </si>
  <si>
    <t>CJ</t>
  </si>
  <si>
    <t>CJ- Law Enforcement</t>
  </si>
  <si>
    <t>CJ - Courts</t>
  </si>
  <si>
    <t>CJ - Corrections/Treatment</t>
  </si>
  <si>
    <t>CJ - Juvenile Justice</t>
  </si>
  <si>
    <t>CJ - Info Security/Assurance</t>
  </si>
  <si>
    <t>CJ - Homeland Security</t>
  </si>
  <si>
    <t>CJ Total</t>
  </si>
  <si>
    <t>SOC</t>
  </si>
  <si>
    <t>Sociology (BA)</t>
  </si>
  <si>
    <t>Sociology/Concentration in Linguistics</t>
  </si>
  <si>
    <t>Sociology w/specialization in Criminal Justice</t>
  </si>
  <si>
    <t>SOC Total</t>
  </si>
  <si>
    <t>SW</t>
  </si>
  <si>
    <t xml:space="preserve">Pre-Social Work </t>
  </si>
  <si>
    <t>Social Work (BSW)</t>
  </si>
  <si>
    <t>SW Total</t>
  </si>
  <si>
    <t>SOC_AN_SW_CJ Total</t>
  </si>
  <si>
    <t>UN_PRE</t>
  </si>
  <si>
    <t>PRE</t>
  </si>
  <si>
    <t>Pre-Liberal Arts</t>
  </si>
  <si>
    <t>Pre-Law</t>
  </si>
  <si>
    <t>Pre-Professional Medical/Dental</t>
  </si>
  <si>
    <t>PRE Total</t>
  </si>
  <si>
    <t>UND</t>
  </si>
  <si>
    <t>Graduate Preparatory Work</t>
  </si>
  <si>
    <t>0005</t>
  </si>
  <si>
    <t>Undecided-Arts</t>
  </si>
  <si>
    <t>Undecided- Letters</t>
  </si>
  <si>
    <t>Undecided Social Science</t>
  </si>
  <si>
    <t>Undecided Science/Math</t>
  </si>
  <si>
    <t>Independent Major</t>
  </si>
  <si>
    <t>UND Total</t>
  </si>
  <si>
    <t>UN_PRE Total</t>
  </si>
  <si>
    <t>WGS</t>
  </si>
  <si>
    <t>Women's Stud/Women &amp; Gender Studies</t>
  </si>
  <si>
    <t>2862&amp;2865</t>
  </si>
  <si>
    <t>WGS Total</t>
  </si>
  <si>
    <t>WRT</t>
  </si>
  <si>
    <t>Writing &amp; Rhetoric</t>
  </si>
  <si>
    <t>WRT Total</t>
  </si>
  <si>
    <t>AS Total</t>
  </si>
  <si>
    <t>BA</t>
  </si>
  <si>
    <t>ACC_FIN</t>
  </si>
  <si>
    <t>ACC</t>
  </si>
  <si>
    <t>Accounting (BS)</t>
  </si>
  <si>
    <t>Financial Information Systems</t>
  </si>
  <si>
    <t>ACC Total</t>
  </si>
  <si>
    <t>FIN</t>
  </si>
  <si>
    <t>Finance (BS)</t>
  </si>
  <si>
    <t>ACC_FIN Total</t>
  </si>
  <si>
    <t>DIS</t>
  </si>
  <si>
    <t>MIS</t>
  </si>
  <si>
    <t>Management Information Syst. (BS)</t>
  </si>
  <si>
    <t>MIS Total</t>
  </si>
  <si>
    <t>OP</t>
  </si>
  <si>
    <t>Operations Management</t>
  </si>
  <si>
    <t>OP Total</t>
  </si>
  <si>
    <t>DIS Total</t>
  </si>
  <si>
    <t>Economics (BS)</t>
  </si>
  <si>
    <t>Business Economics (BS)</t>
  </si>
  <si>
    <t>MGT_MKT</t>
  </si>
  <si>
    <t>HRM</t>
  </si>
  <si>
    <t>Human Resource Management</t>
  </si>
  <si>
    <t>HRM Total</t>
  </si>
  <si>
    <t>MGT</t>
  </si>
  <si>
    <t>General Management</t>
  </si>
  <si>
    <t>Management</t>
  </si>
  <si>
    <t>International Management</t>
  </si>
  <si>
    <t>230</t>
  </si>
  <si>
    <t>MGT Total</t>
  </si>
  <si>
    <t>Independent Econ and Mgt</t>
  </si>
  <si>
    <t>MKT</t>
  </si>
  <si>
    <t>Marketing (BS)</t>
  </si>
  <si>
    <t>MKT Total</t>
  </si>
  <si>
    <t>MGT_MKT Total</t>
  </si>
  <si>
    <t>Undecided - Business</t>
  </si>
  <si>
    <t>Pre-Business Administration</t>
  </si>
  <si>
    <t>Pre-Management</t>
  </si>
  <si>
    <t>Pre-MBA</t>
  </si>
  <si>
    <t>Grad Pre-Req Information Tech Mgt</t>
  </si>
  <si>
    <t>BA Total</t>
  </si>
  <si>
    <t>ED</t>
  </si>
  <si>
    <t>Elementary Education Candidate</t>
  </si>
  <si>
    <t>Pre-Elementary Education</t>
  </si>
  <si>
    <t>Elementary Education (BS)</t>
  </si>
  <si>
    <t>ED Total</t>
  </si>
  <si>
    <t>Pre-Secondary  Education</t>
  </si>
  <si>
    <t>Undecided Secondary Edu</t>
  </si>
  <si>
    <t>Secondary Education</t>
  </si>
  <si>
    <t>Secondary Education Totals</t>
  </si>
  <si>
    <t>HRD</t>
  </si>
  <si>
    <t>Undecided HRD</t>
  </si>
  <si>
    <t>Pre-HRD</t>
  </si>
  <si>
    <t>Human Resource Development</t>
  </si>
  <si>
    <t>HRD-Human Services (BS)</t>
  </si>
  <si>
    <t>HRD-Training &amp; Development (BS)</t>
  </si>
  <si>
    <t>HRD-Youth and Adult Services</t>
  </si>
  <si>
    <t>HRD Total</t>
  </si>
  <si>
    <t>Graduate Prerequisites</t>
  </si>
  <si>
    <t>Undecided Education</t>
  </si>
  <si>
    <t>Pre-Secondary Education</t>
  </si>
  <si>
    <t>EG</t>
  </si>
  <si>
    <t>CSE</t>
  </si>
  <si>
    <t>Computer Science (B.S.)</t>
  </si>
  <si>
    <t>Computer &amp; Information Systems</t>
  </si>
  <si>
    <t>Information Technology</t>
  </si>
  <si>
    <t>CSE Total</t>
  </si>
  <si>
    <t>ECE</t>
  </si>
  <si>
    <t>Computer Engineering (BSE)</t>
  </si>
  <si>
    <t>Electrical Engineering (BSE)</t>
  </si>
  <si>
    <t>ECE Total</t>
  </si>
  <si>
    <t>ISE</t>
  </si>
  <si>
    <t>Systems Engineering (BSE)</t>
  </si>
  <si>
    <t>Industrial and Systems Engineering</t>
  </si>
  <si>
    <t>ISE Total</t>
  </si>
  <si>
    <t>J_AS</t>
  </si>
  <si>
    <t>5051/5050</t>
  </si>
  <si>
    <t>Engineering Chemistry (B.S.)</t>
  </si>
  <si>
    <t>Engineering Physics (B.S.)</t>
  </si>
  <si>
    <t>J_AS Total</t>
  </si>
  <si>
    <t>ME</t>
  </si>
  <si>
    <t>Mechanical Engineering (BSE)</t>
  </si>
  <si>
    <t>Mechanical Engineering 
w/Manufacturing Engineering option</t>
  </si>
  <si>
    <t>ME Total</t>
  </si>
  <si>
    <t>Undecided/Candidate</t>
  </si>
  <si>
    <t>401, 021</t>
  </si>
  <si>
    <t>Engineering-No Major Preference</t>
  </si>
  <si>
    <t>PB Prerequisite</t>
  </si>
  <si>
    <t>School of Egr &amp; Comp Sci</t>
  </si>
  <si>
    <t>EG Total</t>
  </si>
  <si>
    <t>HS</t>
  </si>
  <si>
    <t>Pre-Medical Laboratory Sciences</t>
  </si>
  <si>
    <t>Medical Laboratory Sciences</t>
  </si>
  <si>
    <t>MLS: Cytotechnology</t>
  </si>
  <si>
    <t>MLS: Medical Technology</t>
  </si>
  <si>
    <t>Pre-Biomed Diag &amp; Therap Sci</t>
  </si>
  <si>
    <t>BDTS Spec in Cytotechnology</t>
  </si>
  <si>
    <t>BDTS Spec in Radiation Therapy</t>
  </si>
  <si>
    <t>6066/6166</t>
  </si>
  <si>
    <t>Pre-Medical Technology</t>
  </si>
  <si>
    <t>EXS</t>
  </si>
  <si>
    <t>Exercise Science Pre-requisites</t>
  </si>
  <si>
    <t>Undecided- Health Sciences</t>
  </si>
  <si>
    <t>Health Sciences (BS)</t>
  </si>
  <si>
    <t>Applied Health Sciences</t>
  </si>
  <si>
    <t>Pre-Applied Health Sciences</t>
  </si>
  <si>
    <t>HS Total</t>
  </si>
  <si>
    <t>Industrial Health &amp; Safety (BS)</t>
  </si>
  <si>
    <t>PT</t>
  </si>
  <si>
    <t>Pre-Physical Therapy</t>
  </si>
  <si>
    <t>Physical Therapy</t>
  </si>
  <si>
    <t>WHP</t>
  </si>
  <si>
    <t xml:space="preserve">Pre-Wellness Hlth Prom. &amp; Inj. Prev. </t>
  </si>
  <si>
    <t xml:space="preserve">Wellness Hlth Prom. &amp; Inj. Prev. </t>
  </si>
  <si>
    <t>WHP Total</t>
  </si>
  <si>
    <t>Perfusion Technology</t>
  </si>
  <si>
    <t>NR</t>
  </si>
  <si>
    <t>Nursing (Direct Admit)</t>
  </si>
  <si>
    <t>Nursing (B.S.N)</t>
  </si>
  <si>
    <t>Nursing RN/BSN</t>
  </si>
  <si>
    <t>Nursing Second BSN</t>
  </si>
  <si>
    <t>NR Total</t>
  </si>
  <si>
    <t>Undecided Nursing</t>
  </si>
  <si>
    <t>Pre-Nursing BSN</t>
  </si>
  <si>
    <t xml:space="preserve">Pre-Nursing </t>
  </si>
  <si>
    <t>Pre-Nursing Accelerated 2nd Degree</t>
  </si>
  <si>
    <t>UP</t>
  </si>
  <si>
    <t>BIS</t>
  </si>
  <si>
    <t>Pre-BGS</t>
  </si>
  <si>
    <t>Pre-Integrative Studies</t>
  </si>
  <si>
    <t>Integrative Studies</t>
  </si>
  <si>
    <t>7605/7510</t>
  </si>
  <si>
    <t>BIS Total</t>
  </si>
  <si>
    <t>UP Total</t>
  </si>
  <si>
    <t>UN</t>
  </si>
  <si>
    <t>Undergraduate-Undecided</t>
  </si>
  <si>
    <t>0000</t>
  </si>
  <si>
    <t>UG Total</t>
  </si>
  <si>
    <t>Post Bacalaureate Additional Minor</t>
  </si>
  <si>
    <t>0003</t>
  </si>
  <si>
    <t>Post Bacalaureate Cert/ Endorsement</t>
  </si>
  <si>
    <t>0004</t>
  </si>
  <si>
    <t>Undecided - No Major</t>
  </si>
  <si>
    <t>Undecided - Nursing</t>
  </si>
  <si>
    <t>Undecided (Nursing/Health Science)</t>
  </si>
  <si>
    <t>UN Total</t>
  </si>
  <si>
    <t>Major change required</t>
  </si>
  <si>
    <t>Grand Total</t>
  </si>
  <si>
    <t>Fall 2016</t>
  </si>
  <si>
    <t>Japanese - Modified</t>
  </si>
  <si>
    <t>Chinese Studies</t>
  </si>
  <si>
    <t>Criminal Justice</t>
  </si>
  <si>
    <t>OM - Supply Chain Spec</t>
  </si>
  <si>
    <t>OM - Lean and Quality Spec</t>
  </si>
  <si>
    <t>OM - Project Management Spec</t>
  </si>
  <si>
    <t>OSH/Environmentl Health and Safety</t>
  </si>
  <si>
    <t>6041/42</t>
  </si>
  <si>
    <t>Fall 1999</t>
  </si>
  <si>
    <t>Fall 2000</t>
  </si>
  <si>
    <t>Fall 2001</t>
  </si>
  <si>
    <t>Fall 2002</t>
  </si>
  <si>
    <t>Fall 2003</t>
  </si>
  <si>
    <t>Fall 2004</t>
  </si>
  <si>
    <t>Fall 2005</t>
  </si>
  <si>
    <t>1020</t>
  </si>
  <si>
    <t>CAS Secondary Educatn</t>
  </si>
  <si>
    <t>Fall 2017</t>
  </si>
  <si>
    <t>Biomed Sci w/Spec in Anatomy</t>
  </si>
  <si>
    <t>Pre-Public Relat and Strat Com</t>
  </si>
  <si>
    <t>Cinema St w/Spec in Filmmaking</t>
  </si>
  <si>
    <t>Japanese with K-12 Education</t>
  </si>
  <si>
    <t>MIS - Business Analytics Spec</t>
  </si>
  <si>
    <t>6049/6051</t>
  </si>
  <si>
    <t>6065/6165/6175</t>
  </si>
  <si>
    <t>6068/6168/6178</t>
  </si>
  <si>
    <t>6067/6167/6177</t>
  </si>
  <si>
    <t>6169/6179</t>
  </si>
  <si>
    <t>6161/6171</t>
  </si>
  <si>
    <t>6063/6163/6173</t>
  </si>
  <si>
    <t>CDS Spec in Histotechnology</t>
  </si>
  <si>
    <t>CDS Spec in Nuclear Med Tech</t>
  </si>
  <si>
    <t>CDS Spec in Radiological Tech</t>
  </si>
  <si>
    <t>CDS Spec in Pre Professional</t>
  </si>
  <si>
    <t>CDS Spec in Med Lab Science</t>
  </si>
  <si>
    <t>Clinical &amp; Diagnostic Sci</t>
  </si>
  <si>
    <t>Fall 2018</t>
  </si>
  <si>
    <t>Bio Engineering (Engineering Biology)</t>
  </si>
  <si>
    <t>CDS</t>
  </si>
  <si>
    <t>EHS</t>
  </si>
  <si>
    <t>PEW</t>
  </si>
  <si>
    <t>HMS</t>
  </si>
  <si>
    <t>CDS Total</t>
  </si>
  <si>
    <t>HMS Total</t>
  </si>
  <si>
    <t>EHS Total</t>
  </si>
  <si>
    <t>PEW Total</t>
  </si>
  <si>
    <t>IDH</t>
  </si>
  <si>
    <t>IDH Total</t>
  </si>
  <si>
    <t>Studio Art-Spec Int Art &amp; Tech</t>
  </si>
  <si>
    <t>Studio Art K-12 Spec: Int Art</t>
  </si>
  <si>
    <t>Public Relations and Strat Com</t>
  </si>
  <si>
    <t>Dance Education</t>
  </si>
  <si>
    <t>Dance Ed and Performance</t>
  </si>
  <si>
    <t>Pre-Piano Pedagogy</t>
  </si>
  <si>
    <t>MIS - Info Security Mgt Spec</t>
  </si>
  <si>
    <t>Business Administration</t>
  </si>
  <si>
    <t>Wellness and Health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</si>
</sst>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66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9" fontId="3" fillId="0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0" borderId="8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9" fontId="3" fillId="0" borderId="9" xfId="1" applyFont="1" applyFill="1" applyBorder="1" applyAlignment="1">
      <alignment horizontal="center" vertical="center"/>
    </xf>
    <xf numFmtId="0" fontId="0" fillId="0" borderId="0" xfId="0" applyBorder="1"/>
    <xf numFmtId="0" fontId="5" fillId="0" borderId="7" xfId="0" applyFont="1" applyBorder="1"/>
    <xf numFmtId="0" fontId="1" fillId="0" borderId="9" xfId="0" applyFont="1" applyFill="1" applyBorder="1" applyAlignment="1">
      <alignment vertical="center"/>
    </xf>
    <xf numFmtId="0" fontId="2" fillId="0" borderId="7" xfId="0" applyFont="1" applyBorder="1"/>
    <xf numFmtId="0" fontId="5" fillId="0" borderId="2" xfId="0" applyFont="1" applyBorder="1"/>
    <xf numFmtId="0" fontId="5" fillId="0" borderId="6" xfId="0" applyFont="1" applyBorder="1"/>
    <xf numFmtId="0" fontId="3" fillId="0" borderId="9" xfId="0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6" xfId="0" applyFill="1" applyBorder="1"/>
    <xf numFmtId="0" fontId="0" fillId="0" borderId="7" xfId="0" applyFill="1" applyBorder="1"/>
    <xf numFmtId="1" fontId="4" fillId="0" borderId="9" xfId="0" applyNumberFormat="1" applyFont="1" applyFill="1" applyBorder="1" applyAlignment="1">
      <alignment horizontal="left" vertical="center"/>
    </xf>
    <xf numFmtId="3" fontId="1" fillId="2" borderId="9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1" fontId="6" fillId="0" borderId="9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6" xfId="0" applyFont="1" applyFill="1" applyBorder="1"/>
    <xf numFmtId="49" fontId="4" fillId="0" borderId="9" xfId="0" applyNumberFormat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2" fillId="0" borderId="0" xfId="0" applyFont="1"/>
    <xf numFmtId="3" fontId="7" fillId="0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4" fillId="0" borderId="9" xfId="0" quotePrefix="1" applyNumberFormat="1" applyFont="1" applyFill="1" applyBorder="1" applyAlignment="1">
      <alignment horizontal="left" vertical="center"/>
    </xf>
    <xf numFmtId="49" fontId="4" fillId="0" borderId="9" xfId="0" quotePrefix="1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/>
    <xf numFmtId="0" fontId="8" fillId="0" borderId="9" xfId="0" applyFont="1" applyFill="1" applyBorder="1"/>
    <xf numFmtId="0" fontId="4" fillId="0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2" fillId="0" borderId="7" xfId="0" applyFont="1" applyFill="1" applyBorder="1"/>
    <xf numFmtId="0" fontId="0" fillId="0" borderId="2" xfId="0" applyFill="1" applyBorder="1"/>
    <xf numFmtId="3" fontId="9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0" xfId="0" applyFont="1" applyFill="1"/>
    <xf numFmtId="0" fontId="3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Fill="1"/>
    <xf numFmtId="0" fontId="12" fillId="0" borderId="1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3" fontId="4" fillId="0" borderId="9" xfId="0" quotePrefix="1" applyNumberFormat="1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14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2" fillId="0" borderId="2" xfId="0" applyFont="1" applyBorder="1"/>
    <xf numFmtId="9" fontId="1" fillId="0" borderId="9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9"/>
  <sheetViews>
    <sheetView tabSelected="1" zoomScaleNormal="100" workbookViewId="0">
      <pane xSplit="15" ySplit="1" topLeftCell="P2" activePane="bottomRight" state="frozen"/>
      <selection pane="topRight" activeCell="P1" sqref="P1"/>
      <selection pane="bottomLeft" activeCell="A2" sqref="A2"/>
      <selection pane="bottomRight" activeCell="P2" sqref="P2"/>
    </sheetView>
  </sheetViews>
  <sheetFormatPr defaultRowHeight="12.75" outlineLevelRow="6" x14ac:dyDescent="0.2"/>
  <cols>
    <col min="1" max="1" width="5.85546875" customWidth="1"/>
    <col min="2" max="2" width="7.7109375" customWidth="1"/>
    <col min="3" max="3" width="5.7109375" customWidth="1"/>
    <col min="4" max="4" width="38.42578125" style="72" bestFit="1" customWidth="1"/>
    <col min="5" max="5" width="9.42578125" style="72" hidden="1" customWidth="1"/>
    <col min="6" max="6" width="12.42578125" style="92" customWidth="1"/>
    <col min="7" max="13" width="7.7109375" style="99" hidden="1" customWidth="1"/>
    <col min="14" max="14" width="7.7109375" style="93" hidden="1" customWidth="1"/>
    <col min="15" max="15" width="7.7109375" style="94" hidden="1" customWidth="1"/>
    <col min="16" max="16" width="7.7109375" style="94" customWidth="1"/>
    <col min="17" max="25" width="7.7109375" style="95" customWidth="1"/>
    <col min="26" max="26" width="7.7109375" style="96" customWidth="1"/>
    <col min="27" max="27" width="9.28515625" style="97" customWidth="1"/>
    <col min="28" max="29" width="9.5703125" style="93" customWidth="1"/>
  </cols>
  <sheetData>
    <row r="1" spans="1:29" s="7" customFormat="1" ht="25.5" customHeight="1" x14ac:dyDescent="0.2">
      <c r="A1" s="1" t="s">
        <v>0</v>
      </c>
      <c r="B1" s="1" t="s">
        <v>1</v>
      </c>
      <c r="C1" s="1" t="s">
        <v>2</v>
      </c>
      <c r="D1" s="2"/>
      <c r="E1" s="3" t="s">
        <v>3</v>
      </c>
      <c r="F1" s="4" t="s">
        <v>4</v>
      </c>
      <c r="G1" s="100" t="s">
        <v>455</v>
      </c>
      <c r="H1" s="100" t="s">
        <v>456</v>
      </c>
      <c r="I1" s="100" t="s">
        <v>457</v>
      </c>
      <c r="J1" s="100" t="s">
        <v>458</v>
      </c>
      <c r="K1" s="100" t="s">
        <v>459</v>
      </c>
      <c r="L1" s="100" t="s">
        <v>460</v>
      </c>
      <c r="M1" s="100" t="s">
        <v>461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108" t="s">
        <v>446</v>
      </c>
      <c r="Y1" s="108" t="s">
        <v>464</v>
      </c>
      <c r="Z1" s="98" t="s">
        <v>483</v>
      </c>
      <c r="AA1" s="6" t="s">
        <v>15</v>
      </c>
      <c r="AB1" s="6" t="s">
        <v>16</v>
      </c>
      <c r="AC1" s="6" t="s">
        <v>17</v>
      </c>
    </row>
    <row r="2" spans="1:29" s="18" customFormat="1" outlineLevel="6" x14ac:dyDescent="0.2">
      <c r="A2" s="8" t="s">
        <v>18</v>
      </c>
      <c r="B2" s="9" t="s">
        <v>19</v>
      </c>
      <c r="C2" s="10" t="s">
        <v>20</v>
      </c>
      <c r="D2" s="11" t="s">
        <v>21</v>
      </c>
      <c r="E2" s="12">
        <v>611</v>
      </c>
      <c r="F2" s="13">
        <v>1055</v>
      </c>
      <c r="G2" s="101">
        <v>63</v>
      </c>
      <c r="H2" s="101">
        <v>45</v>
      </c>
      <c r="I2" s="101">
        <v>48</v>
      </c>
      <c r="J2" s="101">
        <v>50</v>
      </c>
      <c r="K2" s="101">
        <v>48</v>
      </c>
      <c r="L2" s="101">
        <v>46</v>
      </c>
      <c r="M2" s="101">
        <v>43</v>
      </c>
      <c r="N2" s="15">
        <v>44</v>
      </c>
      <c r="O2" s="15">
        <v>35</v>
      </c>
      <c r="P2" s="15">
        <v>40</v>
      </c>
      <c r="Q2" s="15">
        <v>27</v>
      </c>
      <c r="R2" s="15">
        <v>33</v>
      </c>
      <c r="S2" s="15">
        <v>33</v>
      </c>
      <c r="T2" s="15">
        <v>35</v>
      </c>
      <c r="U2" s="15">
        <v>33</v>
      </c>
      <c r="V2" s="15">
        <f>30-1</f>
        <v>29</v>
      </c>
      <c r="W2" s="15">
        <v>21</v>
      </c>
      <c r="X2" s="15">
        <v>17</v>
      </c>
      <c r="Y2" s="15">
        <v>14</v>
      </c>
      <c r="Z2" s="16">
        <v>15</v>
      </c>
      <c r="AA2" s="17">
        <f>IF(Y2&gt;0, (Z2-Y2)/Y2, "")</f>
        <v>7.1428571428571425E-2</v>
      </c>
      <c r="AB2" s="17">
        <f>IF(V2&gt;0, (Z2-V2)/V2, "")</f>
        <v>-0.48275862068965519</v>
      </c>
      <c r="AC2" s="17">
        <f>IF(P2&gt;0, (Z2-P2)/P2, "")</f>
        <v>-0.625</v>
      </c>
    </row>
    <row r="3" spans="1:29" s="18" customFormat="1" outlineLevel="5" x14ac:dyDescent="0.2">
      <c r="A3" s="8"/>
      <c r="B3" s="9"/>
      <c r="C3" s="19" t="s">
        <v>22</v>
      </c>
      <c r="D3" s="11"/>
      <c r="E3" s="12"/>
      <c r="F3" s="13"/>
      <c r="G3" s="101">
        <f t="shared" ref="G3:M3" si="0">SUBTOTAL(9,G2:G2)</f>
        <v>63</v>
      </c>
      <c r="H3" s="101">
        <f t="shared" si="0"/>
        <v>45</v>
      </c>
      <c r="I3" s="101">
        <f t="shared" si="0"/>
        <v>48</v>
      </c>
      <c r="J3" s="101">
        <f t="shared" si="0"/>
        <v>50</v>
      </c>
      <c r="K3" s="101">
        <f t="shared" si="0"/>
        <v>48</v>
      </c>
      <c r="L3" s="101">
        <f t="shared" si="0"/>
        <v>46</v>
      </c>
      <c r="M3" s="101">
        <f t="shared" si="0"/>
        <v>43</v>
      </c>
      <c r="N3" s="15">
        <f t="shared" ref="N3:X3" si="1">SUBTOTAL(9,N2:N2)</f>
        <v>44</v>
      </c>
      <c r="O3" s="15">
        <f t="shared" si="1"/>
        <v>35</v>
      </c>
      <c r="P3" s="15">
        <f t="shared" si="1"/>
        <v>40</v>
      </c>
      <c r="Q3" s="15">
        <f t="shared" si="1"/>
        <v>27</v>
      </c>
      <c r="R3" s="15">
        <f t="shared" si="1"/>
        <v>33</v>
      </c>
      <c r="S3" s="15">
        <f t="shared" si="1"/>
        <v>33</v>
      </c>
      <c r="T3" s="15">
        <f t="shared" si="1"/>
        <v>35</v>
      </c>
      <c r="U3" s="15">
        <f t="shared" si="1"/>
        <v>33</v>
      </c>
      <c r="V3" s="15">
        <f t="shared" si="1"/>
        <v>29</v>
      </c>
      <c r="W3" s="15">
        <f t="shared" si="1"/>
        <v>21</v>
      </c>
      <c r="X3" s="15">
        <f t="shared" si="1"/>
        <v>17</v>
      </c>
      <c r="Y3" s="15">
        <f t="shared" ref="Y3:Z3" si="2">SUBTOTAL(9,Y2:Y2)</f>
        <v>14</v>
      </c>
      <c r="Z3" s="16">
        <f t="shared" si="2"/>
        <v>15</v>
      </c>
      <c r="AA3" s="17">
        <f t="shared" ref="AA3:AA69" si="3">IF(Y3&gt;0, (Z3-Y3)/Y3, "")</f>
        <v>7.1428571428571425E-2</v>
      </c>
      <c r="AB3" s="17">
        <f t="shared" ref="AB3:AB69" si="4">IF(V3&gt;0, (Z3-V3)/V3, "")</f>
        <v>-0.48275862068965519</v>
      </c>
      <c r="AC3" s="17">
        <f t="shared" ref="AC3:AC69" si="5">IF(P3&gt;0, (Z3-P3)/P3, "")</f>
        <v>-0.625</v>
      </c>
    </row>
    <row r="4" spans="1:29" outlineLevel="6" x14ac:dyDescent="0.2">
      <c r="A4" s="8" t="s">
        <v>18</v>
      </c>
      <c r="B4" s="9" t="s">
        <v>19</v>
      </c>
      <c r="C4" s="10" t="s">
        <v>23</v>
      </c>
      <c r="D4" s="20" t="s">
        <v>24</v>
      </c>
      <c r="E4" s="12"/>
      <c r="F4" s="13">
        <v>1070</v>
      </c>
      <c r="G4" s="101"/>
      <c r="H4" s="101"/>
      <c r="I4" s="101"/>
      <c r="J4" s="101"/>
      <c r="K4" s="101">
        <v>10</v>
      </c>
      <c r="L4" s="101">
        <v>40</v>
      </c>
      <c r="M4" s="101">
        <v>32</v>
      </c>
      <c r="N4" s="15">
        <v>38</v>
      </c>
      <c r="O4" s="15">
        <v>58</v>
      </c>
      <c r="P4" s="15">
        <v>60</v>
      </c>
      <c r="Q4" s="15">
        <v>61</v>
      </c>
      <c r="R4" s="15">
        <v>72</v>
      </c>
      <c r="S4" s="15">
        <v>54</v>
      </c>
      <c r="T4" s="15">
        <v>44</v>
      </c>
      <c r="U4" s="15">
        <v>43</v>
      </c>
      <c r="V4" s="15">
        <f>29-1</f>
        <v>28</v>
      </c>
      <c r="W4" s="15">
        <v>11</v>
      </c>
      <c r="X4" s="15">
        <v>6</v>
      </c>
      <c r="Y4" s="15">
        <v>6</v>
      </c>
      <c r="Z4" s="16">
        <v>2</v>
      </c>
      <c r="AA4" s="17">
        <f t="shared" si="3"/>
        <v>-0.66666666666666663</v>
      </c>
      <c r="AB4" s="17">
        <f t="shared" si="4"/>
        <v>-0.9285714285714286</v>
      </c>
      <c r="AC4" s="17">
        <f t="shared" si="5"/>
        <v>-0.96666666666666667</v>
      </c>
    </row>
    <row r="5" spans="1:29" outlineLevel="6" x14ac:dyDescent="0.2">
      <c r="A5" s="8" t="s">
        <v>18</v>
      </c>
      <c r="B5" s="9" t="s">
        <v>19</v>
      </c>
      <c r="C5" s="10" t="s">
        <v>23</v>
      </c>
      <c r="D5" s="20" t="s">
        <v>25</v>
      </c>
      <c r="E5" s="12"/>
      <c r="F5" s="13">
        <v>1071</v>
      </c>
      <c r="G5" s="101"/>
      <c r="H5" s="101"/>
      <c r="I5" s="101"/>
      <c r="J5" s="101"/>
      <c r="K5" s="101"/>
      <c r="L5" s="101"/>
      <c r="M5" s="101"/>
      <c r="N5" s="15"/>
      <c r="O5" s="15">
        <v>4</v>
      </c>
      <c r="P5" s="15">
        <v>20</v>
      </c>
      <c r="Q5" s="15">
        <v>34</v>
      </c>
      <c r="R5" s="15">
        <v>34</v>
      </c>
      <c r="S5" s="15">
        <v>38</v>
      </c>
      <c r="T5" s="15">
        <v>39</v>
      </c>
      <c r="U5" s="15">
        <v>24</v>
      </c>
      <c r="V5" s="15">
        <v>26</v>
      </c>
      <c r="W5" s="15">
        <v>14</v>
      </c>
      <c r="X5" s="15">
        <v>10</v>
      </c>
      <c r="Y5" s="15">
        <v>10</v>
      </c>
      <c r="Z5" s="16">
        <v>6</v>
      </c>
      <c r="AA5" s="17">
        <f t="shared" si="3"/>
        <v>-0.4</v>
      </c>
      <c r="AB5" s="17">
        <f t="shared" si="4"/>
        <v>-0.76923076923076927</v>
      </c>
      <c r="AC5" s="17">
        <f t="shared" si="5"/>
        <v>-0.7</v>
      </c>
    </row>
    <row r="6" spans="1:29" outlineLevel="6" x14ac:dyDescent="0.2">
      <c r="A6" s="8" t="s">
        <v>18</v>
      </c>
      <c r="B6" s="9" t="s">
        <v>19</v>
      </c>
      <c r="C6" s="10" t="s">
        <v>23</v>
      </c>
      <c r="D6" s="20" t="s">
        <v>26</v>
      </c>
      <c r="E6" s="12"/>
      <c r="F6" s="13">
        <v>1072</v>
      </c>
      <c r="G6" s="101"/>
      <c r="H6" s="101"/>
      <c r="I6" s="101"/>
      <c r="J6" s="101"/>
      <c r="K6" s="101"/>
      <c r="L6" s="101"/>
      <c r="M6" s="101"/>
      <c r="N6" s="15"/>
      <c r="O6" s="15">
        <v>4</v>
      </c>
      <c r="P6" s="15">
        <v>6</v>
      </c>
      <c r="Q6" s="15">
        <v>5</v>
      </c>
      <c r="R6" s="15">
        <v>5</v>
      </c>
      <c r="S6" s="15">
        <v>4</v>
      </c>
      <c r="T6" s="15">
        <v>4</v>
      </c>
      <c r="U6" s="15">
        <v>1</v>
      </c>
      <c r="V6" s="5">
        <v>1</v>
      </c>
      <c r="W6" s="15">
        <v>1</v>
      </c>
      <c r="X6" s="15"/>
      <c r="Y6" s="15">
        <v>1</v>
      </c>
      <c r="Z6" s="16">
        <v>2</v>
      </c>
      <c r="AA6" s="17">
        <f t="shared" si="3"/>
        <v>1</v>
      </c>
      <c r="AB6" s="17">
        <f t="shared" si="4"/>
        <v>1</v>
      </c>
      <c r="AC6" s="17">
        <f t="shared" si="5"/>
        <v>-0.66666666666666663</v>
      </c>
    </row>
    <row r="7" spans="1:29" outlineLevel="6" x14ac:dyDescent="0.2">
      <c r="A7" s="8" t="s">
        <v>18</v>
      </c>
      <c r="B7" s="9" t="s">
        <v>19</v>
      </c>
      <c r="C7" s="10" t="s">
        <v>23</v>
      </c>
      <c r="D7" s="20" t="s">
        <v>27</v>
      </c>
      <c r="E7" s="12"/>
      <c r="F7" s="13">
        <v>1075</v>
      </c>
      <c r="G7" s="101"/>
      <c r="H7" s="101"/>
      <c r="I7" s="101"/>
      <c r="J7" s="101"/>
      <c r="K7" s="101"/>
      <c r="L7" s="101"/>
      <c r="M7" s="101"/>
      <c r="N7" s="15">
        <v>8</v>
      </c>
      <c r="O7" s="15">
        <v>4</v>
      </c>
      <c r="P7" s="15">
        <v>15</v>
      </c>
      <c r="Q7" s="15">
        <v>17</v>
      </c>
      <c r="R7" s="15">
        <v>21</v>
      </c>
      <c r="S7" s="15">
        <v>20</v>
      </c>
      <c r="T7" s="15">
        <v>20</v>
      </c>
      <c r="U7" s="15">
        <v>22</v>
      </c>
      <c r="V7" s="15">
        <v>28</v>
      </c>
      <c r="W7" s="15">
        <f>33-2</f>
        <v>31</v>
      </c>
      <c r="X7" s="15">
        <v>29</v>
      </c>
      <c r="Y7" s="15">
        <v>29</v>
      </c>
      <c r="Z7" s="16">
        <v>23</v>
      </c>
      <c r="AA7" s="17">
        <f t="shared" si="3"/>
        <v>-0.20689655172413793</v>
      </c>
      <c r="AB7" s="17">
        <f t="shared" si="4"/>
        <v>-0.17857142857142858</v>
      </c>
      <c r="AC7" s="17">
        <f t="shared" si="5"/>
        <v>0.53333333333333333</v>
      </c>
    </row>
    <row r="8" spans="1:29" outlineLevel="6" x14ac:dyDescent="0.2">
      <c r="A8" s="8" t="s">
        <v>18</v>
      </c>
      <c r="B8" s="9" t="s">
        <v>19</v>
      </c>
      <c r="C8" s="10" t="s">
        <v>23</v>
      </c>
      <c r="D8" s="20" t="s">
        <v>28</v>
      </c>
      <c r="E8" s="12"/>
      <c r="F8" s="13">
        <v>1076</v>
      </c>
      <c r="G8" s="101"/>
      <c r="H8" s="101"/>
      <c r="I8" s="101"/>
      <c r="J8" s="101"/>
      <c r="K8" s="101"/>
      <c r="L8" s="101"/>
      <c r="M8" s="101"/>
      <c r="N8" s="15"/>
      <c r="O8" s="15">
        <v>6</v>
      </c>
      <c r="P8" s="15">
        <v>4</v>
      </c>
      <c r="Q8" s="15">
        <v>6</v>
      </c>
      <c r="R8" s="15">
        <v>6</v>
      </c>
      <c r="S8" s="15">
        <v>4</v>
      </c>
      <c r="T8" s="15">
        <v>4</v>
      </c>
      <c r="U8" s="15">
        <v>5</v>
      </c>
      <c r="V8" s="15">
        <v>5</v>
      </c>
      <c r="W8" s="15">
        <v>5</v>
      </c>
      <c r="X8" s="15">
        <v>10</v>
      </c>
      <c r="Y8" s="15">
        <v>10</v>
      </c>
      <c r="Z8" s="16">
        <v>9</v>
      </c>
      <c r="AA8" s="17">
        <f t="shared" si="3"/>
        <v>-0.1</v>
      </c>
      <c r="AB8" s="17">
        <f t="shared" si="4"/>
        <v>0.8</v>
      </c>
      <c r="AC8" s="17">
        <f t="shared" si="5"/>
        <v>1.25</v>
      </c>
    </row>
    <row r="9" spans="1:29" outlineLevel="6" x14ac:dyDescent="0.2">
      <c r="A9" s="8" t="s">
        <v>18</v>
      </c>
      <c r="B9" s="9" t="s">
        <v>19</v>
      </c>
      <c r="C9" s="10" t="s">
        <v>23</v>
      </c>
      <c r="D9" s="20" t="s">
        <v>29</v>
      </c>
      <c r="E9" s="12"/>
      <c r="F9" s="13">
        <v>1077</v>
      </c>
      <c r="G9" s="101"/>
      <c r="H9" s="101"/>
      <c r="I9" s="101"/>
      <c r="J9" s="101"/>
      <c r="K9" s="101"/>
      <c r="L9" s="101"/>
      <c r="M9" s="101"/>
      <c r="N9" s="15"/>
      <c r="O9" s="15">
        <v>2</v>
      </c>
      <c r="P9" s="15">
        <v>1</v>
      </c>
      <c r="Q9" s="15">
        <v>4</v>
      </c>
      <c r="R9" s="15">
        <v>3</v>
      </c>
      <c r="S9" s="15">
        <v>4</v>
      </c>
      <c r="T9" s="15">
        <v>3</v>
      </c>
      <c r="U9" s="15">
        <v>1</v>
      </c>
      <c r="V9" s="15">
        <v>2</v>
      </c>
      <c r="W9" s="15">
        <v>2</v>
      </c>
      <c r="X9" s="15">
        <v>1</v>
      </c>
      <c r="Y9" s="15"/>
      <c r="Z9" s="16">
        <v>3</v>
      </c>
      <c r="AA9" s="17" t="str">
        <f t="shared" si="3"/>
        <v/>
      </c>
      <c r="AB9" s="17">
        <f t="shared" si="4"/>
        <v>0.5</v>
      </c>
      <c r="AC9" s="17">
        <f t="shared" si="5"/>
        <v>2</v>
      </c>
    </row>
    <row r="10" spans="1:29" outlineLevel="6" x14ac:dyDescent="0.2">
      <c r="A10" s="8" t="s">
        <v>18</v>
      </c>
      <c r="B10" s="9" t="s">
        <v>19</v>
      </c>
      <c r="C10" s="10" t="s">
        <v>23</v>
      </c>
      <c r="D10" s="20" t="s">
        <v>30</v>
      </c>
      <c r="E10" s="12"/>
      <c r="F10" s="13">
        <v>1080</v>
      </c>
      <c r="G10" s="101"/>
      <c r="H10" s="101"/>
      <c r="I10" s="101"/>
      <c r="J10" s="101"/>
      <c r="K10" s="101"/>
      <c r="L10" s="101"/>
      <c r="M10" s="101">
        <v>2</v>
      </c>
      <c r="N10" s="15">
        <v>6</v>
      </c>
      <c r="O10" s="15">
        <v>5</v>
      </c>
      <c r="P10" s="15">
        <v>4</v>
      </c>
      <c r="Q10" s="15">
        <v>14</v>
      </c>
      <c r="R10" s="15">
        <v>10</v>
      </c>
      <c r="S10" s="15">
        <v>13</v>
      </c>
      <c r="T10" s="15">
        <v>16</v>
      </c>
      <c r="U10" s="15">
        <v>10</v>
      </c>
      <c r="V10" s="15">
        <v>6</v>
      </c>
      <c r="W10" s="15">
        <v>14</v>
      </c>
      <c r="X10" s="15">
        <v>12</v>
      </c>
      <c r="Y10" s="15">
        <v>13</v>
      </c>
      <c r="Z10" s="16">
        <v>14</v>
      </c>
      <c r="AA10" s="17">
        <f t="shared" si="3"/>
        <v>7.6923076923076927E-2</v>
      </c>
      <c r="AB10" s="17">
        <f t="shared" si="4"/>
        <v>1.3333333333333333</v>
      </c>
      <c r="AC10" s="17">
        <f t="shared" si="5"/>
        <v>2.5</v>
      </c>
    </row>
    <row r="11" spans="1:29" outlineLevel="6" x14ac:dyDescent="0.2">
      <c r="A11" s="8" t="s">
        <v>18</v>
      </c>
      <c r="B11" s="9" t="s">
        <v>19</v>
      </c>
      <c r="C11" s="10" t="s">
        <v>23</v>
      </c>
      <c r="D11" s="20" t="s">
        <v>31</v>
      </c>
      <c r="E11" s="12"/>
      <c r="F11" s="13">
        <v>1081</v>
      </c>
      <c r="G11" s="101"/>
      <c r="H11" s="101"/>
      <c r="I11" s="101"/>
      <c r="J11" s="101"/>
      <c r="K11" s="101"/>
      <c r="L11" s="101"/>
      <c r="M11" s="101"/>
      <c r="N11" s="15"/>
      <c r="O11" s="15">
        <v>4</v>
      </c>
      <c r="P11" s="15">
        <v>2</v>
      </c>
      <c r="Q11" s="15">
        <v>4</v>
      </c>
      <c r="R11" s="15">
        <v>6</v>
      </c>
      <c r="S11" s="15">
        <v>6</v>
      </c>
      <c r="T11" s="15">
        <v>3</v>
      </c>
      <c r="U11" s="15">
        <v>4</v>
      </c>
      <c r="V11" s="15">
        <v>4</v>
      </c>
      <c r="W11" s="15">
        <v>4</v>
      </c>
      <c r="X11" s="15">
        <v>6</v>
      </c>
      <c r="Y11" s="15">
        <v>5</v>
      </c>
      <c r="Z11" s="16">
        <v>5</v>
      </c>
      <c r="AA11" s="17">
        <f t="shared" si="3"/>
        <v>0</v>
      </c>
      <c r="AB11" s="17">
        <f t="shared" si="4"/>
        <v>0.25</v>
      </c>
      <c r="AC11" s="17">
        <f t="shared" si="5"/>
        <v>1.5</v>
      </c>
    </row>
    <row r="12" spans="1:29" outlineLevel="6" x14ac:dyDescent="0.2">
      <c r="A12" s="8" t="s">
        <v>18</v>
      </c>
      <c r="B12" s="9" t="s">
        <v>19</v>
      </c>
      <c r="C12" s="10" t="s">
        <v>23</v>
      </c>
      <c r="D12" s="20" t="s">
        <v>32</v>
      </c>
      <c r="E12" s="12"/>
      <c r="F12" s="13">
        <v>1082</v>
      </c>
      <c r="G12" s="101"/>
      <c r="H12" s="101"/>
      <c r="I12" s="101"/>
      <c r="J12" s="101"/>
      <c r="K12" s="101"/>
      <c r="L12" s="101"/>
      <c r="M12" s="101"/>
      <c r="N12" s="15"/>
      <c r="O12" s="15">
        <v>2</v>
      </c>
      <c r="P12" s="15">
        <v>4</v>
      </c>
      <c r="Q12" s="15">
        <v>2</v>
      </c>
      <c r="R12" s="15">
        <v>1</v>
      </c>
      <c r="S12" s="15">
        <v>0</v>
      </c>
      <c r="T12" s="15">
        <v>3</v>
      </c>
      <c r="U12" s="15">
        <v>5</v>
      </c>
      <c r="V12" s="15">
        <v>3</v>
      </c>
      <c r="W12" s="15">
        <v>2</v>
      </c>
      <c r="X12" s="15">
        <v>2</v>
      </c>
      <c r="Y12" s="15"/>
      <c r="Z12" s="16">
        <v>1</v>
      </c>
      <c r="AA12" s="17" t="str">
        <f t="shared" si="3"/>
        <v/>
      </c>
      <c r="AB12" s="17">
        <f t="shared" si="4"/>
        <v>-0.66666666666666663</v>
      </c>
      <c r="AC12" s="17">
        <f t="shared" si="5"/>
        <v>-0.75</v>
      </c>
    </row>
    <row r="13" spans="1:29" outlineLevel="6" x14ac:dyDescent="0.2">
      <c r="A13" s="8" t="s">
        <v>18</v>
      </c>
      <c r="B13" s="9" t="s">
        <v>19</v>
      </c>
      <c r="C13" s="10" t="s">
        <v>23</v>
      </c>
      <c r="D13" s="20" t="s">
        <v>33</v>
      </c>
      <c r="E13" s="12"/>
      <c r="F13" s="13">
        <v>1085</v>
      </c>
      <c r="G13" s="101"/>
      <c r="H13" s="101"/>
      <c r="I13" s="101"/>
      <c r="J13" s="101"/>
      <c r="K13" s="101"/>
      <c r="L13" s="101"/>
      <c r="M13" s="101">
        <v>10</v>
      </c>
      <c r="N13" s="15">
        <v>16</v>
      </c>
      <c r="O13" s="15">
        <v>17</v>
      </c>
      <c r="P13" s="15">
        <v>23</v>
      </c>
      <c r="Q13" s="15">
        <v>18</v>
      </c>
      <c r="R13" s="15">
        <v>26</v>
      </c>
      <c r="S13" s="15">
        <v>27</v>
      </c>
      <c r="T13" s="15">
        <v>21</v>
      </c>
      <c r="U13" s="15">
        <v>20</v>
      </c>
      <c r="V13" s="15">
        <f>28-1</f>
        <v>27</v>
      </c>
      <c r="W13" s="15">
        <v>20</v>
      </c>
      <c r="X13" s="15">
        <v>23</v>
      </c>
      <c r="Y13" s="15">
        <v>16</v>
      </c>
      <c r="Z13" s="16">
        <v>25</v>
      </c>
      <c r="AA13" s="17">
        <f t="shared" si="3"/>
        <v>0.5625</v>
      </c>
      <c r="AB13" s="17">
        <f t="shared" si="4"/>
        <v>-7.407407407407407E-2</v>
      </c>
      <c r="AC13" s="17">
        <f t="shared" si="5"/>
        <v>8.6956521739130432E-2</v>
      </c>
    </row>
    <row r="14" spans="1:29" outlineLevel="6" x14ac:dyDescent="0.2">
      <c r="A14" s="8" t="s">
        <v>18</v>
      </c>
      <c r="B14" s="9" t="s">
        <v>19</v>
      </c>
      <c r="C14" s="10" t="s">
        <v>23</v>
      </c>
      <c r="D14" s="20" t="s">
        <v>34</v>
      </c>
      <c r="E14" s="12"/>
      <c r="F14" s="13">
        <v>1086</v>
      </c>
      <c r="G14" s="101"/>
      <c r="H14" s="101"/>
      <c r="I14" s="101"/>
      <c r="J14" s="101"/>
      <c r="K14" s="101"/>
      <c r="L14" s="101"/>
      <c r="M14" s="101"/>
      <c r="N14" s="15"/>
      <c r="O14" s="15">
        <v>4</v>
      </c>
      <c r="P14" s="15">
        <v>3</v>
      </c>
      <c r="Q14" s="15">
        <v>1</v>
      </c>
      <c r="R14" s="15">
        <v>4</v>
      </c>
      <c r="S14" s="15">
        <v>4</v>
      </c>
      <c r="T14" s="15">
        <v>5</v>
      </c>
      <c r="U14" s="15">
        <v>7</v>
      </c>
      <c r="V14" s="15">
        <v>6</v>
      </c>
      <c r="W14" s="15">
        <v>1</v>
      </c>
      <c r="X14" s="15">
        <v>1</v>
      </c>
      <c r="Y14" s="15">
        <v>1</v>
      </c>
      <c r="Z14" s="16">
        <v>3</v>
      </c>
      <c r="AA14" s="17">
        <f t="shared" si="3"/>
        <v>2</v>
      </c>
      <c r="AB14" s="17">
        <f t="shared" si="4"/>
        <v>-0.5</v>
      </c>
      <c r="AC14" s="17">
        <f t="shared" si="5"/>
        <v>0</v>
      </c>
    </row>
    <row r="15" spans="1:29" outlineLevel="6" x14ac:dyDescent="0.2">
      <c r="A15" s="8" t="s">
        <v>18</v>
      </c>
      <c r="B15" s="9" t="s">
        <v>19</v>
      </c>
      <c r="C15" s="10" t="s">
        <v>23</v>
      </c>
      <c r="D15" s="20" t="s">
        <v>35</v>
      </c>
      <c r="E15" s="12"/>
      <c r="F15" s="13">
        <v>1087</v>
      </c>
      <c r="G15" s="101"/>
      <c r="H15" s="101"/>
      <c r="I15" s="101"/>
      <c r="J15" s="101"/>
      <c r="K15" s="101"/>
      <c r="L15" s="101"/>
      <c r="M15" s="101"/>
      <c r="N15" s="15"/>
      <c r="O15" s="15"/>
      <c r="P15" s="15"/>
      <c r="Q15" s="15">
        <v>3</v>
      </c>
      <c r="R15" s="15">
        <v>4</v>
      </c>
      <c r="S15" s="15">
        <v>2</v>
      </c>
      <c r="T15" s="15">
        <v>2</v>
      </c>
      <c r="U15" s="15">
        <v>2</v>
      </c>
      <c r="V15" s="15">
        <v>3</v>
      </c>
      <c r="W15" s="15">
        <v>5</v>
      </c>
      <c r="X15" s="15">
        <v>2</v>
      </c>
      <c r="Y15" s="15">
        <v>2</v>
      </c>
      <c r="Z15" s="16">
        <v>1</v>
      </c>
      <c r="AA15" s="17">
        <f t="shared" si="3"/>
        <v>-0.5</v>
      </c>
      <c r="AB15" s="17">
        <f t="shared" si="4"/>
        <v>-0.66666666666666663</v>
      </c>
      <c r="AC15" s="17" t="str">
        <f t="shared" si="5"/>
        <v/>
      </c>
    </row>
    <row r="16" spans="1:29" outlineLevel="6" x14ac:dyDescent="0.2">
      <c r="A16" s="8" t="s">
        <v>18</v>
      </c>
      <c r="B16" s="9" t="s">
        <v>19</v>
      </c>
      <c r="C16" s="10" t="s">
        <v>23</v>
      </c>
      <c r="D16" s="20" t="s">
        <v>36</v>
      </c>
      <c r="E16" s="12"/>
      <c r="F16" s="13">
        <v>1090</v>
      </c>
      <c r="G16" s="101"/>
      <c r="H16" s="101"/>
      <c r="I16" s="101"/>
      <c r="J16" s="101"/>
      <c r="K16" s="101"/>
      <c r="L16" s="101"/>
      <c r="M16" s="101"/>
      <c r="N16" s="15">
        <v>3</v>
      </c>
      <c r="O16" s="15">
        <v>15</v>
      </c>
      <c r="P16" s="15">
        <v>25</v>
      </c>
      <c r="Q16" s="15">
        <v>23</v>
      </c>
      <c r="R16" s="15">
        <v>32</v>
      </c>
      <c r="S16" s="15">
        <v>40</v>
      </c>
      <c r="T16" s="15">
        <v>28</v>
      </c>
      <c r="U16" s="15">
        <v>16</v>
      </c>
      <c r="V16" s="15">
        <v>11</v>
      </c>
      <c r="W16" s="15">
        <v>9</v>
      </c>
      <c r="X16" s="15">
        <v>11</v>
      </c>
      <c r="Y16" s="15">
        <v>8</v>
      </c>
      <c r="Z16" s="16">
        <v>1</v>
      </c>
      <c r="AA16" s="17">
        <f t="shared" si="3"/>
        <v>-0.875</v>
      </c>
      <c r="AB16" s="17">
        <f t="shared" si="4"/>
        <v>-0.90909090909090906</v>
      </c>
      <c r="AC16" s="17">
        <f t="shared" si="5"/>
        <v>-0.96</v>
      </c>
    </row>
    <row r="17" spans="1:29" s="18" customFormat="1" outlineLevel="6" x14ac:dyDescent="0.2">
      <c r="A17" s="8" t="s">
        <v>18</v>
      </c>
      <c r="B17" s="9" t="s">
        <v>19</v>
      </c>
      <c r="C17" s="10" t="s">
        <v>23</v>
      </c>
      <c r="D17" s="20" t="s">
        <v>37</v>
      </c>
      <c r="E17" s="12"/>
      <c r="F17" s="13">
        <v>1091</v>
      </c>
      <c r="G17" s="101"/>
      <c r="H17" s="101"/>
      <c r="I17" s="101"/>
      <c r="J17" s="101"/>
      <c r="K17" s="101"/>
      <c r="L17" s="101"/>
      <c r="M17" s="101"/>
      <c r="N17" s="15"/>
      <c r="O17" s="15">
        <v>3</v>
      </c>
      <c r="P17" s="15">
        <v>1</v>
      </c>
      <c r="Q17" s="15">
        <v>2</v>
      </c>
      <c r="R17" s="15">
        <v>2</v>
      </c>
      <c r="S17" s="15">
        <v>3</v>
      </c>
      <c r="T17" s="15">
        <v>1</v>
      </c>
      <c r="U17" s="15">
        <v>0</v>
      </c>
      <c r="V17" s="15">
        <v>2</v>
      </c>
      <c r="W17" s="15">
        <v>2</v>
      </c>
      <c r="X17" s="15">
        <v>2</v>
      </c>
      <c r="Y17" s="15">
        <v>2</v>
      </c>
      <c r="Z17" s="16"/>
      <c r="AA17" s="17">
        <f>IF(Y17&gt;0, (Z17-Y17)/Y17, "")</f>
        <v>-1</v>
      </c>
      <c r="AB17" s="17">
        <f t="shared" si="4"/>
        <v>-1</v>
      </c>
      <c r="AC17" s="17">
        <f t="shared" si="5"/>
        <v>-1</v>
      </c>
    </row>
    <row r="18" spans="1:29" s="18" customFormat="1" outlineLevel="6" x14ac:dyDescent="0.2">
      <c r="A18" s="8" t="s">
        <v>18</v>
      </c>
      <c r="B18" s="9" t="s">
        <v>19</v>
      </c>
      <c r="C18" s="10" t="s">
        <v>23</v>
      </c>
      <c r="D18" s="20" t="s">
        <v>38</v>
      </c>
      <c r="E18" s="12"/>
      <c r="F18" s="13">
        <v>1092</v>
      </c>
      <c r="G18" s="101"/>
      <c r="H18" s="101"/>
      <c r="I18" s="101"/>
      <c r="J18" s="101"/>
      <c r="K18" s="101"/>
      <c r="L18" s="101"/>
      <c r="M18" s="101"/>
      <c r="N18" s="15"/>
      <c r="O18" s="15"/>
      <c r="P18" s="15">
        <v>2</v>
      </c>
      <c r="Q18" s="15">
        <v>5</v>
      </c>
      <c r="R18" s="15">
        <v>3</v>
      </c>
      <c r="S18" s="15">
        <v>4</v>
      </c>
      <c r="T18" s="15">
        <v>3</v>
      </c>
      <c r="U18" s="15">
        <v>1</v>
      </c>
      <c r="V18" s="15"/>
      <c r="W18" s="15">
        <v>1</v>
      </c>
      <c r="X18" s="15"/>
      <c r="Y18" s="15"/>
      <c r="Z18" s="16"/>
      <c r="AA18" s="17" t="str">
        <f t="shared" si="3"/>
        <v/>
      </c>
      <c r="AB18" s="17" t="str">
        <f t="shared" si="4"/>
        <v/>
      </c>
      <c r="AC18" s="17">
        <f t="shared" si="5"/>
        <v>-1</v>
      </c>
    </row>
    <row r="19" spans="1:29" s="18" customFormat="1" outlineLevel="6" x14ac:dyDescent="0.2">
      <c r="A19" s="8" t="s">
        <v>18</v>
      </c>
      <c r="B19" s="9" t="s">
        <v>19</v>
      </c>
      <c r="C19" s="10" t="s">
        <v>23</v>
      </c>
      <c r="D19" s="20" t="s">
        <v>39</v>
      </c>
      <c r="E19" s="12"/>
      <c r="F19" s="13">
        <v>1093</v>
      </c>
      <c r="G19" s="101"/>
      <c r="H19" s="101"/>
      <c r="I19" s="101"/>
      <c r="J19" s="101"/>
      <c r="K19" s="101"/>
      <c r="L19" s="101"/>
      <c r="M19" s="101"/>
      <c r="N19" s="15"/>
      <c r="O19" s="15"/>
      <c r="P19" s="15"/>
      <c r="Q19" s="15"/>
      <c r="R19" s="15"/>
      <c r="S19" s="15"/>
      <c r="T19" s="15"/>
      <c r="U19" s="15">
        <v>3</v>
      </c>
      <c r="V19" s="15">
        <v>1</v>
      </c>
      <c r="W19" s="15">
        <f>4-1</f>
        <v>3</v>
      </c>
      <c r="X19" s="15">
        <v>8</v>
      </c>
      <c r="Y19" s="15">
        <v>2</v>
      </c>
      <c r="Z19" s="16">
        <v>6</v>
      </c>
      <c r="AA19" s="17">
        <f t="shared" si="3"/>
        <v>2</v>
      </c>
      <c r="AB19" s="17">
        <f t="shared" si="4"/>
        <v>5</v>
      </c>
      <c r="AC19" s="17" t="str">
        <f t="shared" si="5"/>
        <v/>
      </c>
    </row>
    <row r="20" spans="1:29" s="18" customFormat="1" outlineLevel="6" x14ac:dyDescent="0.2">
      <c r="A20" s="8" t="s">
        <v>18</v>
      </c>
      <c r="B20" s="9" t="s">
        <v>19</v>
      </c>
      <c r="C20" s="10" t="s">
        <v>23</v>
      </c>
      <c r="D20" s="20" t="s">
        <v>495</v>
      </c>
      <c r="E20" s="12"/>
      <c r="F20" s="13">
        <v>1097</v>
      </c>
      <c r="G20" s="101"/>
      <c r="H20" s="101"/>
      <c r="I20" s="101"/>
      <c r="J20" s="101"/>
      <c r="K20" s="101"/>
      <c r="L20" s="101"/>
      <c r="M20" s="10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>
        <v>10</v>
      </c>
      <c r="AA20" s="17" t="str">
        <f t="shared" ref="AA20:AA21" si="6">IF(Y20&gt;0, (Z20-Y20)/Y20, "")</f>
        <v/>
      </c>
      <c r="AB20" s="17" t="str">
        <f t="shared" ref="AB20:AB21" si="7">IF(V20&gt;0, (Z20-V20)/V20, "")</f>
        <v/>
      </c>
      <c r="AC20" s="17" t="str">
        <f t="shared" ref="AC20:AC21" si="8">IF(P20&gt;0, (Z20-P20)/P20, "")</f>
        <v/>
      </c>
    </row>
    <row r="21" spans="1:29" s="18" customFormat="1" outlineLevel="6" x14ac:dyDescent="0.2">
      <c r="A21" s="8" t="s">
        <v>18</v>
      </c>
      <c r="B21" s="9" t="s">
        <v>19</v>
      </c>
      <c r="C21" s="10" t="s">
        <v>23</v>
      </c>
      <c r="D21" s="20" t="s">
        <v>496</v>
      </c>
      <c r="E21" s="12"/>
      <c r="F21" s="13">
        <v>1098</v>
      </c>
      <c r="G21" s="101"/>
      <c r="H21" s="101"/>
      <c r="I21" s="101"/>
      <c r="J21" s="101"/>
      <c r="K21" s="101"/>
      <c r="L21" s="101"/>
      <c r="M21" s="10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>
        <v>3</v>
      </c>
      <c r="AA21" s="17" t="str">
        <f t="shared" si="6"/>
        <v/>
      </c>
      <c r="AB21" s="17" t="str">
        <f t="shared" si="7"/>
        <v/>
      </c>
      <c r="AC21" s="17" t="str">
        <f t="shared" si="8"/>
        <v/>
      </c>
    </row>
    <row r="22" spans="1:29" s="18" customFormat="1" outlineLevel="5" x14ac:dyDescent="0.2">
      <c r="A22" s="8"/>
      <c r="B22" s="9"/>
      <c r="C22" s="19" t="s">
        <v>40</v>
      </c>
      <c r="D22" s="20"/>
      <c r="E22" s="12"/>
      <c r="F22" s="13"/>
      <c r="G22" s="101">
        <f t="shared" ref="G22:M22" si="9">SUBTOTAL(9,G4:G19)</f>
        <v>0</v>
      </c>
      <c r="H22" s="101">
        <f t="shared" si="9"/>
        <v>0</v>
      </c>
      <c r="I22" s="101">
        <f t="shared" si="9"/>
        <v>0</v>
      </c>
      <c r="J22" s="101">
        <f t="shared" si="9"/>
        <v>0</v>
      </c>
      <c r="K22" s="101">
        <f t="shared" si="9"/>
        <v>10</v>
      </c>
      <c r="L22" s="101">
        <f t="shared" si="9"/>
        <v>40</v>
      </c>
      <c r="M22" s="101">
        <f t="shared" si="9"/>
        <v>44</v>
      </c>
      <c r="N22" s="15">
        <f t="shared" ref="N22:V22" si="10">SUBTOTAL(9,N4:N19)</f>
        <v>71</v>
      </c>
      <c r="O22" s="15">
        <f t="shared" si="10"/>
        <v>128</v>
      </c>
      <c r="P22" s="15">
        <f t="shared" si="10"/>
        <v>170</v>
      </c>
      <c r="Q22" s="15">
        <f t="shared" si="10"/>
        <v>199</v>
      </c>
      <c r="R22" s="15">
        <f t="shared" si="10"/>
        <v>229</v>
      </c>
      <c r="S22" s="15">
        <f t="shared" si="10"/>
        <v>223</v>
      </c>
      <c r="T22" s="15">
        <f t="shared" si="10"/>
        <v>196</v>
      </c>
      <c r="U22" s="15">
        <f t="shared" si="10"/>
        <v>164</v>
      </c>
      <c r="V22" s="15">
        <f t="shared" si="10"/>
        <v>153</v>
      </c>
      <c r="W22" s="15">
        <f>SUBTOTAL(9,W4:W19)</f>
        <v>125</v>
      </c>
      <c r="X22" s="15">
        <f>SUBTOTAL(9,X4:X19)</f>
        <v>123</v>
      </c>
      <c r="Y22" s="15">
        <f>SUBTOTAL(9,Y4:Y19)</f>
        <v>105</v>
      </c>
      <c r="Z22" s="16">
        <f>SUBTOTAL(9,Z4:Z21)</f>
        <v>114</v>
      </c>
      <c r="AA22" s="17">
        <f t="shared" si="3"/>
        <v>8.5714285714285715E-2</v>
      </c>
      <c r="AB22" s="17">
        <f t="shared" si="4"/>
        <v>-0.25490196078431371</v>
      </c>
      <c r="AC22" s="17">
        <f t="shared" si="5"/>
        <v>-0.32941176470588235</v>
      </c>
    </row>
    <row r="23" spans="1:29" s="18" customFormat="1" outlineLevel="6" x14ac:dyDescent="0.2">
      <c r="A23" s="8" t="s">
        <v>18</v>
      </c>
      <c r="B23" s="9" t="s">
        <v>19</v>
      </c>
      <c r="C23" s="21" t="s">
        <v>41</v>
      </c>
      <c r="D23" s="20" t="s">
        <v>42</v>
      </c>
      <c r="E23" s="12"/>
      <c r="F23" s="13">
        <v>1095</v>
      </c>
      <c r="G23" s="101"/>
      <c r="H23" s="101"/>
      <c r="I23" s="101"/>
      <c r="J23" s="101"/>
      <c r="K23" s="101"/>
      <c r="L23" s="101"/>
      <c r="M23" s="101"/>
      <c r="N23" s="15"/>
      <c r="O23" s="15"/>
      <c r="P23" s="15"/>
      <c r="Q23" s="15"/>
      <c r="R23" s="15"/>
      <c r="S23" s="15"/>
      <c r="T23" s="15">
        <v>22</v>
      </c>
      <c r="U23" s="15">
        <v>54</v>
      </c>
      <c r="V23" s="15">
        <f>75-2</f>
        <v>73</v>
      </c>
      <c r="W23" s="15">
        <v>18</v>
      </c>
      <c r="X23" s="15">
        <v>13</v>
      </c>
      <c r="Y23" s="15">
        <v>3</v>
      </c>
      <c r="Z23" s="16">
        <v>1</v>
      </c>
      <c r="AA23" s="17">
        <f t="shared" si="3"/>
        <v>-0.66666666666666663</v>
      </c>
      <c r="AB23" s="17">
        <f t="shared" si="4"/>
        <v>-0.98630136986301364</v>
      </c>
      <c r="AC23" s="17" t="str">
        <f t="shared" si="5"/>
        <v/>
      </c>
    </row>
    <row r="24" spans="1:29" s="18" customFormat="1" outlineLevel="6" x14ac:dyDescent="0.2">
      <c r="A24" s="8" t="s">
        <v>18</v>
      </c>
      <c r="B24" s="9" t="s">
        <v>19</v>
      </c>
      <c r="C24" s="21" t="s">
        <v>41</v>
      </c>
      <c r="D24" s="20" t="s">
        <v>43</v>
      </c>
      <c r="E24" s="12"/>
      <c r="F24" s="13">
        <v>1096</v>
      </c>
      <c r="G24" s="101"/>
      <c r="H24" s="101"/>
      <c r="I24" s="101"/>
      <c r="J24" s="101"/>
      <c r="K24" s="101"/>
      <c r="L24" s="101"/>
      <c r="M24" s="101"/>
      <c r="N24" s="15"/>
      <c r="O24" s="15"/>
      <c r="P24" s="15"/>
      <c r="Q24" s="15"/>
      <c r="R24" s="15"/>
      <c r="S24" s="15"/>
      <c r="T24" s="15">
        <v>6</v>
      </c>
      <c r="U24" s="15">
        <v>42</v>
      </c>
      <c r="V24" s="15">
        <v>87</v>
      </c>
      <c r="W24" s="15">
        <f>190-3</f>
        <v>187</v>
      </c>
      <c r="X24" s="15">
        <v>212</v>
      </c>
      <c r="Y24" s="15">
        <v>206</v>
      </c>
      <c r="Z24" s="16">
        <v>225</v>
      </c>
      <c r="AA24" s="17">
        <f t="shared" si="3"/>
        <v>9.2233009708737865E-2</v>
      </c>
      <c r="AB24" s="17">
        <f t="shared" si="4"/>
        <v>1.5862068965517242</v>
      </c>
      <c r="AC24" s="17" t="str">
        <f t="shared" si="5"/>
        <v/>
      </c>
    </row>
    <row r="25" spans="1:29" s="18" customFormat="1" outlineLevel="5" x14ac:dyDescent="0.2">
      <c r="A25" s="8"/>
      <c r="B25" s="9"/>
      <c r="C25" s="19" t="s">
        <v>44</v>
      </c>
      <c r="D25" s="20"/>
      <c r="E25" s="12"/>
      <c r="F25" s="13"/>
      <c r="G25" s="101">
        <f t="shared" ref="G25:M25" si="11">SUBTOTAL(9,G23:G24)</f>
        <v>0</v>
      </c>
      <c r="H25" s="101">
        <f t="shared" si="11"/>
        <v>0</v>
      </c>
      <c r="I25" s="101">
        <f t="shared" si="11"/>
        <v>0</v>
      </c>
      <c r="J25" s="101">
        <f t="shared" si="11"/>
        <v>0</v>
      </c>
      <c r="K25" s="101">
        <f t="shared" si="11"/>
        <v>0</v>
      </c>
      <c r="L25" s="101">
        <f t="shared" si="11"/>
        <v>0</v>
      </c>
      <c r="M25" s="101">
        <f t="shared" si="11"/>
        <v>0</v>
      </c>
      <c r="N25" s="15">
        <f t="shared" ref="N25:X25" si="12">SUBTOTAL(9,N23:N24)</f>
        <v>0</v>
      </c>
      <c r="O25" s="15">
        <f t="shared" si="12"/>
        <v>0</v>
      </c>
      <c r="P25" s="15">
        <f t="shared" si="12"/>
        <v>0</v>
      </c>
      <c r="Q25" s="15">
        <f t="shared" si="12"/>
        <v>0</v>
      </c>
      <c r="R25" s="15">
        <f t="shared" si="12"/>
        <v>0</v>
      </c>
      <c r="S25" s="15">
        <f t="shared" si="12"/>
        <v>0</v>
      </c>
      <c r="T25" s="15">
        <f t="shared" si="12"/>
        <v>28</v>
      </c>
      <c r="U25" s="15">
        <f t="shared" si="12"/>
        <v>96</v>
      </c>
      <c r="V25" s="15">
        <f t="shared" si="12"/>
        <v>160</v>
      </c>
      <c r="W25" s="15">
        <f t="shared" si="12"/>
        <v>205</v>
      </c>
      <c r="X25" s="15">
        <f t="shared" si="12"/>
        <v>225</v>
      </c>
      <c r="Y25" s="15">
        <f t="shared" ref="Y25:Z25" si="13">SUBTOTAL(9,Y23:Y24)</f>
        <v>209</v>
      </c>
      <c r="Z25" s="16">
        <f t="shared" si="13"/>
        <v>226</v>
      </c>
      <c r="AA25" s="17">
        <f t="shared" si="3"/>
        <v>8.1339712918660281E-2</v>
      </c>
      <c r="AB25" s="17">
        <f t="shared" si="4"/>
        <v>0.41249999999999998</v>
      </c>
      <c r="AC25" s="17" t="str">
        <f t="shared" si="5"/>
        <v/>
      </c>
    </row>
    <row r="26" spans="1:29" s="30" customFormat="1" outlineLevel="4" x14ac:dyDescent="0.2">
      <c r="A26" s="22"/>
      <c r="B26" s="23" t="s">
        <v>45</v>
      </c>
      <c r="C26" s="19"/>
      <c r="D26" s="24"/>
      <c r="E26" s="25"/>
      <c r="F26" s="26"/>
      <c r="G26" s="102">
        <f t="shared" ref="G26:M26" si="14">SUBTOTAL(9,G2:G24)</f>
        <v>63</v>
      </c>
      <c r="H26" s="102">
        <f t="shared" si="14"/>
        <v>45</v>
      </c>
      <c r="I26" s="102">
        <f t="shared" si="14"/>
        <v>48</v>
      </c>
      <c r="J26" s="102">
        <f t="shared" si="14"/>
        <v>50</v>
      </c>
      <c r="K26" s="102">
        <f t="shared" si="14"/>
        <v>58</v>
      </c>
      <c r="L26" s="102">
        <f t="shared" si="14"/>
        <v>86</v>
      </c>
      <c r="M26" s="102">
        <f t="shared" si="14"/>
        <v>87</v>
      </c>
      <c r="N26" s="28">
        <f t="shared" ref="N26:X26" si="15">SUBTOTAL(9,N2:N24)</f>
        <v>115</v>
      </c>
      <c r="O26" s="28">
        <f t="shared" si="15"/>
        <v>163</v>
      </c>
      <c r="P26" s="28">
        <f t="shared" si="15"/>
        <v>210</v>
      </c>
      <c r="Q26" s="28">
        <f t="shared" si="15"/>
        <v>226</v>
      </c>
      <c r="R26" s="28">
        <f t="shared" si="15"/>
        <v>262</v>
      </c>
      <c r="S26" s="28">
        <f t="shared" si="15"/>
        <v>256</v>
      </c>
      <c r="T26" s="28">
        <f t="shared" si="15"/>
        <v>259</v>
      </c>
      <c r="U26" s="28">
        <f t="shared" si="15"/>
        <v>293</v>
      </c>
      <c r="V26" s="28">
        <f t="shared" si="15"/>
        <v>342</v>
      </c>
      <c r="W26" s="28">
        <f t="shared" si="15"/>
        <v>351</v>
      </c>
      <c r="X26" s="28">
        <f t="shared" si="15"/>
        <v>365</v>
      </c>
      <c r="Y26" s="28">
        <f>SUBTOTAL(9,Y2:Y24)</f>
        <v>328</v>
      </c>
      <c r="Z26" s="29">
        <f>SUBTOTAL(9,Z2:Z24)</f>
        <v>355</v>
      </c>
      <c r="AA26" s="17">
        <f t="shared" si="3"/>
        <v>8.2317073170731711E-2</v>
      </c>
      <c r="AB26" s="17">
        <f t="shared" si="4"/>
        <v>3.8011695906432746E-2</v>
      </c>
      <c r="AC26" s="17">
        <f t="shared" si="5"/>
        <v>0.69047619047619047</v>
      </c>
    </row>
    <row r="27" spans="1:29" outlineLevel="6" x14ac:dyDescent="0.2">
      <c r="A27" s="8" t="s">
        <v>18</v>
      </c>
      <c r="B27" s="31" t="s">
        <v>46</v>
      </c>
      <c r="C27" s="32" t="s">
        <v>46</v>
      </c>
      <c r="D27" s="20" t="s">
        <v>47</v>
      </c>
      <c r="E27" s="12" t="s">
        <v>48</v>
      </c>
      <c r="F27" s="33">
        <v>1105</v>
      </c>
      <c r="G27" s="101">
        <v>299</v>
      </c>
      <c r="H27" s="101">
        <v>287</v>
      </c>
      <c r="I27" s="101">
        <v>302</v>
      </c>
      <c r="J27" s="101">
        <v>302</v>
      </c>
      <c r="K27" s="101">
        <v>324</v>
      </c>
      <c r="L27" s="101">
        <v>274</v>
      </c>
      <c r="M27" s="101">
        <v>322</v>
      </c>
      <c r="N27" s="15">
        <v>348</v>
      </c>
      <c r="O27" s="15">
        <v>386</v>
      </c>
      <c r="P27" s="15">
        <v>480</v>
      </c>
      <c r="Q27" s="15">
        <v>577</v>
      </c>
      <c r="R27" s="15">
        <v>754</v>
      </c>
      <c r="S27" s="15">
        <v>798</v>
      </c>
      <c r="T27" s="15">
        <v>774</v>
      </c>
      <c r="U27" s="15">
        <v>875</v>
      </c>
      <c r="V27" s="15">
        <f>867-13</f>
        <v>854</v>
      </c>
      <c r="W27" s="15">
        <f>916-23</f>
        <v>893</v>
      </c>
      <c r="X27" s="15">
        <v>833</v>
      </c>
      <c r="Y27" s="15">
        <v>661</v>
      </c>
      <c r="Z27" s="34">
        <v>664</v>
      </c>
      <c r="AA27" s="17">
        <f t="shared" si="3"/>
        <v>4.5385779122541605E-3</v>
      </c>
      <c r="AB27" s="17">
        <f t="shared" si="4"/>
        <v>-0.22248243559718969</v>
      </c>
      <c r="AC27" s="17">
        <f t="shared" si="5"/>
        <v>0.38333333333333336</v>
      </c>
    </row>
    <row r="28" spans="1:29" outlineLevel="6" x14ac:dyDescent="0.2">
      <c r="A28" s="8" t="s">
        <v>18</v>
      </c>
      <c r="B28" s="31" t="s">
        <v>46</v>
      </c>
      <c r="C28" s="32" t="s">
        <v>46</v>
      </c>
      <c r="D28" s="20" t="s">
        <v>49</v>
      </c>
      <c r="E28" s="12"/>
      <c r="F28" s="33">
        <v>1108</v>
      </c>
      <c r="G28" s="101"/>
      <c r="H28" s="101"/>
      <c r="I28" s="101"/>
      <c r="J28" s="101"/>
      <c r="K28" s="101"/>
      <c r="L28" s="101"/>
      <c r="M28" s="101"/>
      <c r="N28" s="15"/>
      <c r="O28" s="15"/>
      <c r="P28" s="15"/>
      <c r="Q28" s="15"/>
      <c r="R28" s="15"/>
      <c r="S28" s="15"/>
      <c r="T28" s="15">
        <v>103</v>
      </c>
      <c r="U28" s="15">
        <v>88</v>
      </c>
      <c r="V28" s="15">
        <v>130</v>
      </c>
      <c r="W28" s="15">
        <f>85-1</f>
        <v>84</v>
      </c>
      <c r="X28" s="15">
        <v>113</v>
      </c>
      <c r="Y28" s="15">
        <v>105</v>
      </c>
      <c r="Z28" s="34">
        <v>125</v>
      </c>
      <c r="AA28" s="17">
        <f t="shared" si="3"/>
        <v>0.19047619047619047</v>
      </c>
      <c r="AB28" s="17">
        <f t="shared" si="4"/>
        <v>-3.8461538461538464E-2</v>
      </c>
      <c r="AC28" s="17" t="str">
        <f t="shared" si="5"/>
        <v/>
      </c>
    </row>
    <row r="29" spans="1:29" outlineLevel="6" x14ac:dyDescent="0.2">
      <c r="A29" s="8" t="s">
        <v>18</v>
      </c>
      <c r="B29" s="31" t="s">
        <v>46</v>
      </c>
      <c r="C29" s="32" t="s">
        <v>46</v>
      </c>
      <c r="D29" s="20" t="s">
        <v>50</v>
      </c>
      <c r="E29" s="12"/>
      <c r="F29" s="33">
        <v>1109</v>
      </c>
      <c r="G29" s="101"/>
      <c r="H29" s="101"/>
      <c r="I29" s="101"/>
      <c r="J29" s="101"/>
      <c r="K29" s="101"/>
      <c r="L29" s="101"/>
      <c r="M29" s="101"/>
      <c r="N29" s="15"/>
      <c r="O29" s="15"/>
      <c r="P29" s="15"/>
      <c r="Q29" s="15"/>
      <c r="R29" s="15"/>
      <c r="S29" s="15"/>
      <c r="T29" s="15"/>
      <c r="U29" s="15">
        <v>17</v>
      </c>
      <c r="V29" s="15">
        <v>65</v>
      </c>
      <c r="W29" s="15">
        <v>71</v>
      </c>
      <c r="X29" s="15">
        <v>81</v>
      </c>
      <c r="Y29" s="15">
        <v>80</v>
      </c>
      <c r="Z29" s="34">
        <v>81</v>
      </c>
      <c r="AA29" s="17">
        <f t="shared" si="3"/>
        <v>1.2500000000000001E-2</v>
      </c>
      <c r="AB29" s="17">
        <f t="shared" si="4"/>
        <v>0.24615384615384617</v>
      </c>
      <c r="AC29" s="17" t="str">
        <f t="shared" si="5"/>
        <v/>
      </c>
    </row>
    <row r="30" spans="1:29" outlineLevel="6" x14ac:dyDescent="0.2">
      <c r="A30" s="8" t="s">
        <v>18</v>
      </c>
      <c r="B30" s="31" t="s">
        <v>46</v>
      </c>
      <c r="C30" s="32" t="s">
        <v>46</v>
      </c>
      <c r="D30" s="20" t="s">
        <v>465</v>
      </c>
      <c r="E30" s="12"/>
      <c r="F30" s="33">
        <v>1111</v>
      </c>
      <c r="G30" s="101"/>
      <c r="H30" s="101"/>
      <c r="I30" s="101"/>
      <c r="J30" s="101"/>
      <c r="K30" s="101"/>
      <c r="L30" s="101"/>
      <c r="M30" s="101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v>3</v>
      </c>
      <c r="Z30" s="34">
        <v>5</v>
      </c>
      <c r="AA30" s="17">
        <f t="shared" si="3"/>
        <v>0.66666666666666663</v>
      </c>
      <c r="AB30" s="17" t="str">
        <f t="shared" si="4"/>
        <v/>
      </c>
      <c r="AC30" s="17" t="str">
        <f t="shared" si="5"/>
        <v/>
      </c>
    </row>
    <row r="31" spans="1:29" outlineLevel="6" x14ac:dyDescent="0.2">
      <c r="A31" s="8" t="s">
        <v>18</v>
      </c>
      <c r="B31" s="31" t="s">
        <v>46</v>
      </c>
      <c r="C31" s="32" t="s">
        <v>46</v>
      </c>
      <c r="D31" s="20" t="s">
        <v>51</v>
      </c>
      <c r="E31" s="12"/>
      <c r="F31" s="33">
        <v>1120</v>
      </c>
      <c r="G31" s="101"/>
      <c r="H31" s="101"/>
      <c r="I31" s="101"/>
      <c r="J31" s="101"/>
      <c r="K31" s="101"/>
      <c r="L31" s="101"/>
      <c r="M31" s="101"/>
      <c r="N31" s="15"/>
      <c r="O31" s="15"/>
      <c r="P31" s="15"/>
      <c r="Q31" s="15">
        <v>1</v>
      </c>
      <c r="R31" s="15">
        <v>2</v>
      </c>
      <c r="S31" s="15">
        <v>3</v>
      </c>
      <c r="T31" s="15">
        <v>1</v>
      </c>
      <c r="U31" s="15">
        <v>3</v>
      </c>
      <c r="V31" s="15">
        <v>2</v>
      </c>
      <c r="W31" s="15">
        <v>2</v>
      </c>
      <c r="X31" s="15">
        <v>3</v>
      </c>
      <c r="Y31" s="15">
        <v>3</v>
      </c>
      <c r="Z31" s="34">
        <v>4</v>
      </c>
      <c r="AA31" s="17">
        <f t="shared" si="3"/>
        <v>0.33333333333333331</v>
      </c>
      <c r="AB31" s="17">
        <f t="shared" si="4"/>
        <v>1</v>
      </c>
      <c r="AC31" s="17" t="str">
        <f t="shared" si="5"/>
        <v/>
      </c>
    </row>
    <row r="32" spans="1:29" ht="12.75" customHeight="1" outlineLevel="6" x14ac:dyDescent="0.2">
      <c r="A32" s="8" t="s">
        <v>18</v>
      </c>
      <c r="B32" s="31" t="s">
        <v>46</v>
      </c>
      <c r="C32" s="32" t="s">
        <v>46</v>
      </c>
      <c r="D32" s="20" t="s">
        <v>52</v>
      </c>
      <c r="E32" s="12"/>
      <c r="F32" s="33">
        <v>1125</v>
      </c>
      <c r="G32" s="101"/>
      <c r="H32" s="101"/>
      <c r="I32" s="101"/>
      <c r="J32" s="101"/>
      <c r="K32" s="101"/>
      <c r="L32" s="101"/>
      <c r="M32" s="101">
        <v>1</v>
      </c>
      <c r="N32" s="15">
        <v>2</v>
      </c>
      <c r="O32" s="15">
        <v>1</v>
      </c>
      <c r="P32" s="15">
        <v>1</v>
      </c>
      <c r="Q32" s="15">
        <v>1</v>
      </c>
      <c r="R32" s="15">
        <v>0</v>
      </c>
      <c r="S32" s="15">
        <v>1</v>
      </c>
      <c r="T32" s="15">
        <v>2</v>
      </c>
      <c r="U32" s="15">
        <v>4</v>
      </c>
      <c r="V32" s="15">
        <v>6</v>
      </c>
      <c r="W32" s="15">
        <v>8</v>
      </c>
      <c r="X32" s="15">
        <v>10</v>
      </c>
      <c r="Y32" s="15">
        <v>12</v>
      </c>
      <c r="Z32" s="34">
        <v>15</v>
      </c>
      <c r="AA32" s="17">
        <f t="shared" si="3"/>
        <v>0.25</v>
      </c>
      <c r="AB32" s="17">
        <f t="shared" si="4"/>
        <v>1.5</v>
      </c>
      <c r="AC32" s="17">
        <f t="shared" si="5"/>
        <v>14</v>
      </c>
    </row>
    <row r="33" spans="1:29" outlineLevel="6" x14ac:dyDescent="0.2">
      <c r="A33" s="8" t="s">
        <v>18</v>
      </c>
      <c r="B33" s="31" t="s">
        <v>46</v>
      </c>
      <c r="C33" s="32" t="s">
        <v>46</v>
      </c>
      <c r="D33" s="20" t="s">
        <v>53</v>
      </c>
      <c r="E33" s="12"/>
      <c r="F33" s="33">
        <v>1130</v>
      </c>
      <c r="G33" s="101">
        <v>1</v>
      </c>
      <c r="H33" s="101"/>
      <c r="I33" s="101"/>
      <c r="J33" s="101"/>
      <c r="K33" s="101"/>
      <c r="L33" s="101"/>
      <c r="M33" s="101"/>
      <c r="N33" s="15">
        <v>1</v>
      </c>
      <c r="O33" s="15">
        <v>1</v>
      </c>
      <c r="P33" s="15">
        <v>1</v>
      </c>
      <c r="Q33" s="15">
        <v>1</v>
      </c>
      <c r="R33" s="15">
        <v>3</v>
      </c>
      <c r="S33" s="15">
        <v>1</v>
      </c>
      <c r="T33" s="15">
        <v>1</v>
      </c>
      <c r="U33" s="15">
        <v>4</v>
      </c>
      <c r="V33" s="15">
        <v>2</v>
      </c>
      <c r="W33" s="15">
        <v>3</v>
      </c>
      <c r="X33" s="15">
        <v>4</v>
      </c>
      <c r="Y33" s="15">
        <v>5</v>
      </c>
      <c r="Z33" s="34">
        <v>5</v>
      </c>
      <c r="AA33" s="17">
        <f t="shared" si="3"/>
        <v>0</v>
      </c>
      <c r="AB33" s="17">
        <f t="shared" si="4"/>
        <v>1.5</v>
      </c>
      <c r="AC33" s="17">
        <f t="shared" si="5"/>
        <v>4</v>
      </c>
    </row>
    <row r="34" spans="1:29" outlineLevel="6" x14ac:dyDescent="0.2">
      <c r="A34" s="8" t="s">
        <v>18</v>
      </c>
      <c r="B34" s="31" t="s">
        <v>46</v>
      </c>
      <c r="C34" s="32" t="s">
        <v>46</v>
      </c>
      <c r="D34" s="20" t="s">
        <v>54</v>
      </c>
      <c r="E34" s="12">
        <v>342</v>
      </c>
      <c r="F34" s="33" t="s">
        <v>55</v>
      </c>
      <c r="G34" s="101">
        <v>30</v>
      </c>
      <c r="H34" s="101">
        <v>26</v>
      </c>
      <c r="I34" s="101">
        <v>33</v>
      </c>
      <c r="J34" s="101">
        <v>29</v>
      </c>
      <c r="K34" s="101">
        <v>43</v>
      </c>
      <c r="L34" s="101">
        <v>43</v>
      </c>
      <c r="M34" s="101">
        <v>34</v>
      </c>
      <c r="N34" s="15">
        <v>34</v>
      </c>
      <c r="O34" s="15">
        <v>36</v>
      </c>
      <c r="P34" s="15">
        <v>25</v>
      </c>
      <c r="Q34" s="15">
        <v>36</v>
      </c>
      <c r="R34" s="15">
        <v>29</v>
      </c>
      <c r="S34" s="15">
        <v>33</v>
      </c>
      <c r="T34" s="15">
        <v>31</v>
      </c>
      <c r="U34" s="15">
        <v>22</v>
      </c>
      <c r="V34" s="15">
        <f>24-2</f>
        <v>22</v>
      </c>
      <c r="W34" s="15">
        <f>30-1</f>
        <v>29</v>
      </c>
      <c r="X34" s="15">
        <v>34</v>
      </c>
      <c r="Y34" s="15">
        <f>15+1</f>
        <v>16</v>
      </c>
      <c r="Z34" s="34">
        <v>18</v>
      </c>
      <c r="AA34" s="17">
        <f t="shared" si="3"/>
        <v>0.125</v>
      </c>
      <c r="AB34" s="17">
        <f t="shared" si="4"/>
        <v>-0.18181818181818182</v>
      </c>
      <c r="AC34" s="17">
        <f t="shared" si="5"/>
        <v>-0.28000000000000003</v>
      </c>
    </row>
    <row r="35" spans="1:29" outlineLevel="6" x14ac:dyDescent="0.2">
      <c r="A35" s="35" t="s">
        <v>18</v>
      </c>
      <c r="B35" s="36" t="s">
        <v>46</v>
      </c>
      <c r="C35" s="37" t="s">
        <v>46</v>
      </c>
      <c r="D35" s="20" t="s">
        <v>56</v>
      </c>
      <c r="E35" s="12">
        <v>842</v>
      </c>
      <c r="F35" s="33"/>
      <c r="G35" s="101"/>
      <c r="H35" s="101"/>
      <c r="I35" s="101"/>
      <c r="J35" s="101"/>
      <c r="K35" s="101"/>
      <c r="L35" s="101"/>
      <c r="M35" s="10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4"/>
      <c r="AA35" s="17" t="str">
        <f t="shared" si="3"/>
        <v/>
      </c>
      <c r="AB35" s="17" t="str">
        <f t="shared" si="4"/>
        <v/>
      </c>
      <c r="AC35" s="17" t="str">
        <f t="shared" si="5"/>
        <v/>
      </c>
    </row>
    <row r="36" spans="1:29" s="44" customFormat="1" outlineLevel="4" x14ac:dyDescent="0.2">
      <c r="A36" s="38"/>
      <c r="B36" s="39" t="s">
        <v>57</v>
      </c>
      <c r="C36" s="40"/>
      <c r="D36" s="24"/>
      <c r="E36" s="25"/>
      <c r="F36" s="41"/>
      <c r="G36" s="102">
        <f t="shared" ref="G36:M36" si="16">SUBTOTAL(9,G27:G35)</f>
        <v>330</v>
      </c>
      <c r="H36" s="102">
        <f t="shared" si="16"/>
        <v>313</v>
      </c>
      <c r="I36" s="102">
        <f t="shared" si="16"/>
        <v>335</v>
      </c>
      <c r="J36" s="102">
        <f t="shared" si="16"/>
        <v>331</v>
      </c>
      <c r="K36" s="102">
        <f t="shared" si="16"/>
        <v>367</v>
      </c>
      <c r="L36" s="102">
        <f t="shared" si="16"/>
        <v>317</v>
      </c>
      <c r="M36" s="102">
        <f t="shared" si="16"/>
        <v>357</v>
      </c>
      <c r="N36" s="28">
        <f t="shared" ref="N36:X36" si="17">SUBTOTAL(9,N27:N35)</f>
        <v>385</v>
      </c>
      <c r="O36" s="28">
        <f t="shared" si="17"/>
        <v>424</v>
      </c>
      <c r="P36" s="28">
        <f t="shared" si="17"/>
        <v>507</v>
      </c>
      <c r="Q36" s="28">
        <f t="shared" si="17"/>
        <v>616</v>
      </c>
      <c r="R36" s="28">
        <f t="shared" si="17"/>
        <v>788</v>
      </c>
      <c r="S36" s="28">
        <f t="shared" si="17"/>
        <v>836</v>
      </c>
      <c r="T36" s="28">
        <f t="shared" si="17"/>
        <v>912</v>
      </c>
      <c r="U36" s="28">
        <f t="shared" si="17"/>
        <v>1013</v>
      </c>
      <c r="V36" s="28">
        <f t="shared" si="17"/>
        <v>1081</v>
      </c>
      <c r="W36" s="28">
        <f t="shared" si="17"/>
        <v>1090</v>
      </c>
      <c r="X36" s="28">
        <f t="shared" si="17"/>
        <v>1078</v>
      </c>
      <c r="Y36" s="28">
        <f>SUBTOTAL(9,Y27:Y35)</f>
        <v>885</v>
      </c>
      <c r="Z36" s="43">
        <f>SUBTOTAL(9,Z27:Z35)</f>
        <v>917</v>
      </c>
      <c r="AA36" s="17">
        <f t="shared" si="3"/>
        <v>3.6158192090395481E-2</v>
      </c>
      <c r="AB36" s="17">
        <f t="shared" si="4"/>
        <v>-0.1517113783533765</v>
      </c>
      <c r="AC36" s="17">
        <f t="shared" si="5"/>
        <v>0.80867850098619332</v>
      </c>
    </row>
    <row r="37" spans="1:29" outlineLevel="6" x14ac:dyDescent="0.2">
      <c r="A37" s="8" t="s">
        <v>18</v>
      </c>
      <c r="B37" s="31" t="s">
        <v>58</v>
      </c>
      <c r="C37" s="32" t="s">
        <v>58</v>
      </c>
      <c r="D37" s="20" t="s">
        <v>59</v>
      </c>
      <c r="E37" s="12">
        <v>640</v>
      </c>
      <c r="F37" s="33">
        <v>1225</v>
      </c>
      <c r="G37" s="101">
        <v>53</v>
      </c>
      <c r="H37" s="101">
        <v>38</v>
      </c>
      <c r="I37" s="101">
        <v>44</v>
      </c>
      <c r="J37" s="101">
        <v>45</v>
      </c>
      <c r="K37" s="101">
        <v>42</v>
      </c>
      <c r="L37" s="101">
        <v>41</v>
      </c>
      <c r="M37" s="101">
        <v>42</v>
      </c>
      <c r="N37" s="15">
        <v>64</v>
      </c>
      <c r="O37" s="15">
        <v>50</v>
      </c>
      <c r="P37" s="15">
        <v>74</v>
      </c>
      <c r="Q37" s="15">
        <v>88</v>
      </c>
      <c r="R37" s="15">
        <v>111</v>
      </c>
      <c r="S37" s="15">
        <v>124</v>
      </c>
      <c r="T37" s="15">
        <v>132</v>
      </c>
      <c r="U37" s="15">
        <v>101</v>
      </c>
      <c r="V37" s="15">
        <f>97-1</f>
        <v>96</v>
      </c>
      <c r="W37" s="15">
        <f>102-2</f>
        <v>100</v>
      </c>
      <c r="X37" s="15">
        <v>97</v>
      </c>
      <c r="Y37" s="15">
        <v>95</v>
      </c>
      <c r="Z37" s="34">
        <v>105</v>
      </c>
      <c r="AA37" s="17">
        <f t="shared" si="3"/>
        <v>0.10526315789473684</v>
      </c>
      <c r="AB37" s="17">
        <f t="shared" si="4"/>
        <v>9.375E-2</v>
      </c>
      <c r="AC37" s="17">
        <f t="shared" si="5"/>
        <v>0.41891891891891891</v>
      </c>
    </row>
    <row r="38" spans="1:29" s="44" customFormat="1" outlineLevel="4" x14ac:dyDescent="0.2">
      <c r="A38" s="22"/>
      <c r="B38" s="39" t="s">
        <v>60</v>
      </c>
      <c r="C38" s="40"/>
      <c r="D38" s="24"/>
      <c r="E38" s="25"/>
      <c r="F38" s="41"/>
      <c r="G38" s="102">
        <f t="shared" ref="G38:M38" si="18">SUBTOTAL(9,G37:G37)</f>
        <v>53</v>
      </c>
      <c r="H38" s="102">
        <f t="shared" si="18"/>
        <v>38</v>
      </c>
      <c r="I38" s="102">
        <f t="shared" si="18"/>
        <v>44</v>
      </c>
      <c r="J38" s="102">
        <f t="shared" si="18"/>
        <v>45</v>
      </c>
      <c r="K38" s="102">
        <f t="shared" si="18"/>
        <v>42</v>
      </c>
      <c r="L38" s="102">
        <f t="shared" si="18"/>
        <v>41</v>
      </c>
      <c r="M38" s="102">
        <f t="shared" si="18"/>
        <v>42</v>
      </c>
      <c r="N38" s="28">
        <f t="shared" ref="N38:Z38" si="19">SUBTOTAL(9,N37:N37)</f>
        <v>64</v>
      </c>
      <c r="O38" s="28">
        <f t="shared" si="19"/>
        <v>50</v>
      </c>
      <c r="P38" s="28">
        <f t="shared" si="19"/>
        <v>74</v>
      </c>
      <c r="Q38" s="28">
        <f t="shared" si="19"/>
        <v>88</v>
      </c>
      <c r="R38" s="28">
        <f t="shared" si="19"/>
        <v>111</v>
      </c>
      <c r="S38" s="28">
        <f t="shared" si="19"/>
        <v>124</v>
      </c>
      <c r="T38" s="28">
        <f t="shared" si="19"/>
        <v>132</v>
      </c>
      <c r="U38" s="28">
        <f t="shared" si="19"/>
        <v>101</v>
      </c>
      <c r="V38" s="28">
        <f t="shared" si="19"/>
        <v>96</v>
      </c>
      <c r="W38" s="28">
        <f t="shared" si="19"/>
        <v>100</v>
      </c>
      <c r="X38" s="28">
        <f t="shared" si="19"/>
        <v>97</v>
      </c>
      <c r="Y38" s="28">
        <f t="shared" si="19"/>
        <v>95</v>
      </c>
      <c r="Z38" s="43">
        <f t="shared" si="19"/>
        <v>105</v>
      </c>
      <c r="AA38" s="17">
        <f t="shared" si="3"/>
        <v>0.10526315789473684</v>
      </c>
      <c r="AB38" s="17">
        <f t="shared" si="4"/>
        <v>9.375E-2</v>
      </c>
      <c r="AC38" s="17">
        <f t="shared" si="5"/>
        <v>0.41891891891891891</v>
      </c>
    </row>
    <row r="39" spans="1:29" outlineLevel="6" x14ac:dyDescent="0.2">
      <c r="A39" s="8" t="s">
        <v>18</v>
      </c>
      <c r="B39" s="31" t="s">
        <v>61</v>
      </c>
      <c r="C39" s="32" t="s">
        <v>61</v>
      </c>
      <c r="D39" s="20" t="s">
        <v>62</v>
      </c>
      <c r="E39" s="12">
        <v>641</v>
      </c>
      <c r="F39" s="33">
        <v>1230</v>
      </c>
      <c r="G39" s="101">
        <v>39</v>
      </c>
      <c r="H39" s="101">
        <v>35</v>
      </c>
      <c r="I39" s="101">
        <v>37</v>
      </c>
      <c r="J39" s="101">
        <v>44</v>
      </c>
      <c r="K39" s="101">
        <v>40</v>
      </c>
      <c r="L39" s="101">
        <v>36</v>
      </c>
      <c r="M39" s="101">
        <v>46</v>
      </c>
      <c r="N39" s="15">
        <v>43</v>
      </c>
      <c r="O39" s="15">
        <v>55</v>
      </c>
      <c r="P39" s="15">
        <v>57</v>
      </c>
      <c r="Q39" s="15">
        <v>57</v>
      </c>
      <c r="R39" s="15">
        <v>64</v>
      </c>
      <c r="S39" s="15">
        <v>66</v>
      </c>
      <c r="T39" s="15">
        <v>75</v>
      </c>
      <c r="U39" s="15">
        <v>74</v>
      </c>
      <c r="V39" s="15">
        <f>62-1</f>
        <v>61</v>
      </c>
      <c r="W39" s="15">
        <f>66-2</f>
        <v>64</v>
      </c>
      <c r="X39" s="15">
        <v>51</v>
      </c>
      <c r="Y39" s="15">
        <v>52</v>
      </c>
      <c r="Z39" s="34">
        <v>56</v>
      </c>
      <c r="AA39" s="17">
        <f t="shared" si="3"/>
        <v>7.6923076923076927E-2</v>
      </c>
      <c r="AB39" s="17">
        <f t="shared" si="4"/>
        <v>-8.1967213114754092E-2</v>
      </c>
      <c r="AC39" s="17">
        <f t="shared" si="5"/>
        <v>-1.7543859649122806E-2</v>
      </c>
    </row>
    <row r="40" spans="1:29" outlineLevel="6" x14ac:dyDescent="0.2">
      <c r="A40" s="8" t="s">
        <v>18</v>
      </c>
      <c r="B40" s="31" t="s">
        <v>61</v>
      </c>
      <c r="C40" s="32" t="s">
        <v>61</v>
      </c>
      <c r="D40" s="20" t="s">
        <v>63</v>
      </c>
      <c r="E40" s="12">
        <v>341</v>
      </c>
      <c r="F40" s="33" t="s">
        <v>64</v>
      </c>
      <c r="G40" s="101">
        <v>8</v>
      </c>
      <c r="H40" s="101">
        <v>11</v>
      </c>
      <c r="I40" s="101">
        <v>11</v>
      </c>
      <c r="J40" s="101">
        <v>11</v>
      </c>
      <c r="K40" s="101">
        <v>5</v>
      </c>
      <c r="L40" s="101">
        <v>4</v>
      </c>
      <c r="M40" s="101">
        <v>7</v>
      </c>
      <c r="N40" s="15">
        <v>6</v>
      </c>
      <c r="O40" s="15">
        <v>6</v>
      </c>
      <c r="P40" s="15">
        <v>5</v>
      </c>
      <c r="Q40" s="15">
        <v>11</v>
      </c>
      <c r="R40" s="15">
        <v>14</v>
      </c>
      <c r="S40" s="15">
        <v>14</v>
      </c>
      <c r="T40" s="15">
        <v>10</v>
      </c>
      <c r="U40" s="15">
        <v>4</v>
      </c>
      <c r="V40" s="15">
        <v>6</v>
      </c>
      <c r="W40" s="15">
        <v>5</v>
      </c>
      <c r="X40" s="15">
        <v>2</v>
      </c>
      <c r="Y40" s="15">
        <v>3</v>
      </c>
      <c r="Z40" s="34">
        <v>4</v>
      </c>
      <c r="AA40" s="17">
        <f t="shared" si="3"/>
        <v>0.33333333333333331</v>
      </c>
      <c r="AB40" s="17">
        <f t="shared" si="4"/>
        <v>-0.33333333333333331</v>
      </c>
      <c r="AC40" s="17">
        <f t="shared" si="5"/>
        <v>-0.2</v>
      </c>
    </row>
    <row r="41" spans="1:29" outlineLevel="5" x14ac:dyDescent="0.2">
      <c r="A41" s="8"/>
      <c r="B41" s="31"/>
      <c r="C41" s="40" t="s">
        <v>65</v>
      </c>
      <c r="D41" s="20"/>
      <c r="E41" s="12"/>
      <c r="F41" s="33"/>
      <c r="G41" s="101">
        <f t="shared" ref="G41:M41" si="20">SUBTOTAL(9,G39:G40)</f>
        <v>47</v>
      </c>
      <c r="H41" s="101">
        <f t="shared" si="20"/>
        <v>46</v>
      </c>
      <c r="I41" s="101">
        <f t="shared" si="20"/>
        <v>48</v>
      </c>
      <c r="J41" s="101">
        <f t="shared" si="20"/>
        <v>55</v>
      </c>
      <c r="K41" s="101">
        <f t="shared" si="20"/>
        <v>45</v>
      </c>
      <c r="L41" s="101">
        <f t="shared" si="20"/>
        <v>40</v>
      </c>
      <c r="M41" s="101">
        <f t="shared" si="20"/>
        <v>53</v>
      </c>
      <c r="N41" s="15">
        <f t="shared" ref="N41:X41" si="21">SUBTOTAL(9,N39:N40)</f>
        <v>49</v>
      </c>
      <c r="O41" s="15">
        <f t="shared" si="21"/>
        <v>61</v>
      </c>
      <c r="P41" s="15">
        <f t="shared" si="21"/>
        <v>62</v>
      </c>
      <c r="Q41" s="15">
        <f t="shared" si="21"/>
        <v>68</v>
      </c>
      <c r="R41" s="15">
        <f t="shared" si="21"/>
        <v>78</v>
      </c>
      <c r="S41" s="15">
        <f t="shared" si="21"/>
        <v>80</v>
      </c>
      <c r="T41" s="15">
        <f t="shared" si="21"/>
        <v>85</v>
      </c>
      <c r="U41" s="15">
        <f t="shared" si="21"/>
        <v>78</v>
      </c>
      <c r="V41" s="15">
        <f t="shared" si="21"/>
        <v>67</v>
      </c>
      <c r="W41" s="15">
        <f t="shared" si="21"/>
        <v>69</v>
      </c>
      <c r="X41" s="15">
        <f t="shared" si="21"/>
        <v>53</v>
      </c>
      <c r="Y41" s="15">
        <f t="shared" ref="Y41:Z41" si="22">SUBTOTAL(9,Y39:Y40)</f>
        <v>55</v>
      </c>
      <c r="Z41" s="34">
        <f t="shared" si="22"/>
        <v>60</v>
      </c>
      <c r="AA41" s="17">
        <f t="shared" si="3"/>
        <v>9.0909090909090912E-2</v>
      </c>
      <c r="AB41" s="17">
        <f t="shared" si="4"/>
        <v>-0.1044776119402985</v>
      </c>
      <c r="AC41" s="17">
        <f t="shared" si="5"/>
        <v>-3.2258064516129031E-2</v>
      </c>
    </row>
    <row r="42" spans="1:29" outlineLevel="6" x14ac:dyDescent="0.2">
      <c r="A42" s="8" t="s">
        <v>18</v>
      </c>
      <c r="B42" s="31" t="s">
        <v>61</v>
      </c>
      <c r="C42" s="10" t="s">
        <v>66</v>
      </c>
      <c r="D42" s="20" t="s">
        <v>67</v>
      </c>
      <c r="E42" s="12"/>
      <c r="F42" s="33">
        <v>1252</v>
      </c>
      <c r="G42" s="101"/>
      <c r="H42" s="101"/>
      <c r="I42" s="101"/>
      <c r="J42" s="101"/>
      <c r="K42" s="101"/>
      <c r="L42" s="101"/>
      <c r="M42" s="101"/>
      <c r="N42" s="15"/>
      <c r="O42" s="15"/>
      <c r="P42" s="15"/>
      <c r="Q42" s="15"/>
      <c r="R42" s="15"/>
      <c r="S42" s="15">
        <v>25</v>
      </c>
      <c r="T42" s="15">
        <v>41</v>
      </c>
      <c r="U42" s="15">
        <v>60</v>
      </c>
      <c r="V42" s="15">
        <f>81-1</f>
        <v>80</v>
      </c>
      <c r="W42" s="15">
        <f>95-2</f>
        <v>93</v>
      </c>
      <c r="X42" s="15">
        <v>109</v>
      </c>
      <c r="Y42" s="15">
        <v>98</v>
      </c>
      <c r="Z42" s="34">
        <v>109</v>
      </c>
      <c r="AA42" s="17">
        <f t="shared" si="3"/>
        <v>0.11224489795918367</v>
      </c>
      <c r="AB42" s="17">
        <f t="shared" si="4"/>
        <v>0.36249999999999999</v>
      </c>
      <c r="AC42" s="17" t="str">
        <f t="shared" si="5"/>
        <v/>
      </c>
    </row>
    <row r="43" spans="1:29" outlineLevel="6" x14ac:dyDescent="0.2">
      <c r="A43" s="8" t="s">
        <v>18</v>
      </c>
      <c r="B43" s="31" t="s">
        <v>61</v>
      </c>
      <c r="C43" s="10" t="s">
        <v>66</v>
      </c>
      <c r="D43" s="20" t="s">
        <v>68</v>
      </c>
      <c r="E43" s="12"/>
      <c r="F43" s="33">
        <v>1257</v>
      </c>
      <c r="G43" s="101"/>
      <c r="H43" s="101"/>
      <c r="I43" s="101"/>
      <c r="J43" s="101"/>
      <c r="K43" s="101"/>
      <c r="L43" s="101"/>
      <c r="M43" s="101"/>
      <c r="N43" s="15"/>
      <c r="O43" s="15"/>
      <c r="P43" s="15"/>
      <c r="Q43" s="15"/>
      <c r="R43" s="15"/>
      <c r="S43" s="15">
        <v>4</v>
      </c>
      <c r="T43" s="15">
        <v>9</v>
      </c>
      <c r="U43" s="15">
        <v>9</v>
      </c>
      <c r="V43" s="15">
        <v>11</v>
      </c>
      <c r="W43" s="15">
        <v>10</v>
      </c>
      <c r="X43" s="15">
        <v>19</v>
      </c>
      <c r="Y43" s="15">
        <v>23</v>
      </c>
      <c r="Z43" s="34">
        <v>23</v>
      </c>
      <c r="AA43" s="17">
        <f t="shared" si="3"/>
        <v>0</v>
      </c>
      <c r="AB43" s="17">
        <f t="shared" si="4"/>
        <v>1.0909090909090908</v>
      </c>
      <c r="AC43" s="17" t="str">
        <f t="shared" si="5"/>
        <v/>
      </c>
    </row>
    <row r="44" spans="1:29" outlineLevel="6" x14ac:dyDescent="0.2">
      <c r="A44" s="8" t="s">
        <v>18</v>
      </c>
      <c r="B44" s="31" t="s">
        <v>61</v>
      </c>
      <c r="C44" s="10" t="s">
        <v>66</v>
      </c>
      <c r="D44" s="20" t="s">
        <v>69</v>
      </c>
      <c r="E44" s="12"/>
      <c r="F44" s="33" t="s">
        <v>70</v>
      </c>
      <c r="G44" s="101"/>
      <c r="H44" s="101"/>
      <c r="I44" s="101"/>
      <c r="J44" s="101"/>
      <c r="K44" s="101"/>
      <c r="L44" s="101"/>
      <c r="M44" s="101">
        <v>1</v>
      </c>
      <c r="N44" s="15">
        <v>2</v>
      </c>
      <c r="O44" s="15">
        <v>1</v>
      </c>
      <c r="P44" s="15">
        <v>2</v>
      </c>
      <c r="Q44" s="15">
        <v>1</v>
      </c>
      <c r="R44" s="15">
        <v>1</v>
      </c>
      <c r="S44" s="15">
        <v>0</v>
      </c>
      <c r="T44" s="15">
        <v>1</v>
      </c>
      <c r="U44" s="15">
        <v>0</v>
      </c>
      <c r="V44" s="15"/>
      <c r="W44" s="15"/>
      <c r="X44" s="15"/>
      <c r="Y44" s="15"/>
      <c r="Z44" s="34"/>
      <c r="AA44" s="17" t="str">
        <f t="shared" si="3"/>
        <v/>
      </c>
      <c r="AB44" s="17" t="str">
        <f t="shared" si="4"/>
        <v/>
      </c>
      <c r="AC44" s="17">
        <f t="shared" si="5"/>
        <v>-1</v>
      </c>
    </row>
    <row r="45" spans="1:29" outlineLevel="6" x14ac:dyDescent="0.2">
      <c r="A45" s="8" t="s">
        <v>18</v>
      </c>
      <c r="B45" s="31" t="s">
        <v>61</v>
      </c>
      <c r="C45" s="10" t="s">
        <v>66</v>
      </c>
      <c r="D45" s="20" t="s">
        <v>71</v>
      </c>
      <c r="E45" s="12"/>
      <c r="F45" s="33" t="s">
        <v>72</v>
      </c>
      <c r="G45" s="101"/>
      <c r="H45" s="101"/>
      <c r="I45" s="101"/>
      <c r="J45" s="101"/>
      <c r="K45" s="101"/>
      <c r="L45" s="101">
        <v>1</v>
      </c>
      <c r="M45" s="101">
        <v>8</v>
      </c>
      <c r="N45" s="15">
        <v>9</v>
      </c>
      <c r="O45" s="15">
        <v>10</v>
      </c>
      <c r="P45" s="15">
        <v>15</v>
      </c>
      <c r="Q45" s="15">
        <v>14</v>
      </c>
      <c r="R45" s="15">
        <v>24</v>
      </c>
      <c r="S45" s="15">
        <v>0</v>
      </c>
      <c r="T45" s="15">
        <v>1</v>
      </c>
      <c r="U45" s="15">
        <v>0</v>
      </c>
      <c r="V45" s="15">
        <v>1</v>
      </c>
      <c r="W45" s="15"/>
      <c r="X45" s="15"/>
      <c r="Y45" s="15"/>
      <c r="Z45" s="34"/>
      <c r="AA45" s="17" t="str">
        <f t="shared" si="3"/>
        <v/>
      </c>
      <c r="AB45" s="17">
        <f t="shared" si="4"/>
        <v>-1</v>
      </c>
      <c r="AC45" s="17">
        <f t="shared" si="5"/>
        <v>-1</v>
      </c>
    </row>
    <row r="46" spans="1:29" outlineLevel="6" x14ac:dyDescent="0.2">
      <c r="A46" s="8" t="s">
        <v>18</v>
      </c>
      <c r="B46" s="31" t="s">
        <v>61</v>
      </c>
      <c r="C46" s="10" t="s">
        <v>66</v>
      </c>
      <c r="D46" s="20" t="s">
        <v>73</v>
      </c>
      <c r="E46" s="12"/>
      <c r="F46" s="33" t="s">
        <v>74</v>
      </c>
      <c r="G46" s="101"/>
      <c r="H46" s="101"/>
      <c r="I46" s="101"/>
      <c r="J46" s="101"/>
      <c r="K46" s="101"/>
      <c r="L46" s="101"/>
      <c r="M46" s="101"/>
      <c r="N46" s="15">
        <v>2</v>
      </c>
      <c r="O46" s="15">
        <v>0</v>
      </c>
      <c r="P46" s="15">
        <v>0</v>
      </c>
      <c r="Q46" s="15">
        <v>1</v>
      </c>
      <c r="R46" s="15">
        <v>2</v>
      </c>
      <c r="S46" s="15">
        <v>0</v>
      </c>
      <c r="T46" s="15">
        <v>0</v>
      </c>
      <c r="U46" s="15">
        <v>0</v>
      </c>
      <c r="V46" s="15"/>
      <c r="W46" s="15"/>
      <c r="X46" s="15"/>
      <c r="Y46" s="15"/>
      <c r="Z46" s="34"/>
      <c r="AA46" s="17" t="str">
        <f t="shared" si="3"/>
        <v/>
      </c>
      <c r="AB46" s="17" t="str">
        <f t="shared" si="4"/>
        <v/>
      </c>
      <c r="AC46" s="17" t="str">
        <f t="shared" si="5"/>
        <v/>
      </c>
    </row>
    <row r="47" spans="1:29" outlineLevel="6" x14ac:dyDescent="0.2">
      <c r="A47" s="8" t="s">
        <v>18</v>
      </c>
      <c r="B47" s="31" t="s">
        <v>61</v>
      </c>
      <c r="C47" s="10" t="s">
        <v>66</v>
      </c>
      <c r="D47" s="20" t="s">
        <v>75</v>
      </c>
      <c r="E47" s="12"/>
      <c r="F47" s="33" t="s">
        <v>76</v>
      </c>
      <c r="G47" s="101"/>
      <c r="H47" s="101">
        <v>1</v>
      </c>
      <c r="I47" s="101">
        <v>1</v>
      </c>
      <c r="J47" s="101"/>
      <c r="K47" s="101"/>
      <c r="L47" s="101"/>
      <c r="M47" s="101">
        <v>3</v>
      </c>
      <c r="N47" s="15">
        <v>4</v>
      </c>
      <c r="O47" s="15">
        <v>3</v>
      </c>
      <c r="P47" s="15">
        <v>0</v>
      </c>
      <c r="Q47" s="15">
        <v>0</v>
      </c>
      <c r="R47" s="15">
        <v>0</v>
      </c>
      <c r="S47" s="15">
        <v>3</v>
      </c>
      <c r="T47" s="15">
        <v>0</v>
      </c>
      <c r="U47" s="15">
        <v>0</v>
      </c>
      <c r="V47" s="15"/>
      <c r="W47" s="15"/>
      <c r="X47" s="15"/>
      <c r="Y47" s="15"/>
      <c r="Z47" s="34"/>
      <c r="AA47" s="17" t="str">
        <f t="shared" si="3"/>
        <v/>
      </c>
      <c r="AB47" s="17" t="str">
        <f t="shared" si="4"/>
        <v/>
      </c>
      <c r="AC47" s="17" t="str">
        <f t="shared" si="5"/>
        <v/>
      </c>
    </row>
    <row r="48" spans="1:29" outlineLevel="6" x14ac:dyDescent="0.2">
      <c r="A48" s="8" t="s">
        <v>18</v>
      </c>
      <c r="B48" s="31" t="s">
        <v>61</v>
      </c>
      <c r="C48" s="10" t="s">
        <v>66</v>
      </c>
      <c r="D48" s="20" t="s">
        <v>77</v>
      </c>
      <c r="E48" s="12">
        <v>465</v>
      </c>
      <c r="F48" s="33" t="s">
        <v>78</v>
      </c>
      <c r="G48" s="101">
        <v>33</v>
      </c>
      <c r="H48" s="101">
        <v>27</v>
      </c>
      <c r="I48" s="101">
        <v>19</v>
      </c>
      <c r="J48" s="101">
        <v>18</v>
      </c>
      <c r="K48" s="101">
        <v>23</v>
      </c>
      <c r="L48" s="101">
        <v>20</v>
      </c>
      <c r="M48" s="101">
        <v>12</v>
      </c>
      <c r="N48" s="15">
        <v>9</v>
      </c>
      <c r="O48" s="15">
        <v>15</v>
      </c>
      <c r="P48" s="15">
        <v>24</v>
      </c>
      <c r="Q48" s="15">
        <v>33</v>
      </c>
      <c r="R48" s="15">
        <v>42</v>
      </c>
      <c r="S48" s="15">
        <v>48</v>
      </c>
      <c r="T48" s="15">
        <v>37</v>
      </c>
      <c r="U48" s="15">
        <v>35</v>
      </c>
      <c r="V48" s="15">
        <v>25</v>
      </c>
      <c r="W48" s="15">
        <f>26-1</f>
        <v>25</v>
      </c>
      <c r="X48" s="15">
        <v>3</v>
      </c>
      <c r="Y48" s="15">
        <v>6</v>
      </c>
      <c r="Z48" s="16"/>
      <c r="AA48" s="17">
        <f t="shared" si="3"/>
        <v>-1</v>
      </c>
      <c r="AB48" s="17">
        <f t="shared" si="4"/>
        <v>-1</v>
      </c>
      <c r="AC48" s="17">
        <f t="shared" si="5"/>
        <v>-1</v>
      </c>
    </row>
    <row r="49" spans="1:29" outlineLevel="5" x14ac:dyDescent="0.2">
      <c r="A49" s="8"/>
      <c r="B49" s="31"/>
      <c r="C49" s="19" t="s">
        <v>79</v>
      </c>
      <c r="D49" s="20"/>
      <c r="E49" s="12"/>
      <c r="F49" s="33"/>
      <c r="G49" s="101">
        <f t="shared" ref="G49:M49" si="23">SUBTOTAL(9,G42:G48)</f>
        <v>33</v>
      </c>
      <c r="H49" s="101">
        <f t="shared" si="23"/>
        <v>28</v>
      </c>
      <c r="I49" s="101">
        <f t="shared" si="23"/>
        <v>20</v>
      </c>
      <c r="J49" s="101">
        <f t="shared" si="23"/>
        <v>18</v>
      </c>
      <c r="K49" s="101">
        <f t="shared" si="23"/>
        <v>23</v>
      </c>
      <c r="L49" s="101">
        <f t="shared" si="23"/>
        <v>21</v>
      </c>
      <c r="M49" s="101">
        <f t="shared" si="23"/>
        <v>24</v>
      </c>
      <c r="N49" s="15">
        <f t="shared" ref="N49:X49" si="24">SUBTOTAL(9,N42:N48)</f>
        <v>26</v>
      </c>
      <c r="O49" s="15">
        <f t="shared" si="24"/>
        <v>29</v>
      </c>
      <c r="P49" s="15">
        <f t="shared" si="24"/>
        <v>41</v>
      </c>
      <c r="Q49" s="15">
        <f t="shared" si="24"/>
        <v>49</v>
      </c>
      <c r="R49" s="15">
        <f t="shared" si="24"/>
        <v>69</v>
      </c>
      <c r="S49" s="15">
        <f t="shared" si="24"/>
        <v>80</v>
      </c>
      <c r="T49" s="15">
        <f t="shared" si="24"/>
        <v>89</v>
      </c>
      <c r="U49" s="15">
        <f t="shared" si="24"/>
        <v>104</v>
      </c>
      <c r="V49" s="15">
        <f t="shared" si="24"/>
        <v>117</v>
      </c>
      <c r="W49" s="15">
        <f t="shared" si="24"/>
        <v>128</v>
      </c>
      <c r="X49" s="15">
        <f t="shared" si="24"/>
        <v>131</v>
      </c>
      <c r="Y49" s="15">
        <f>SUBTOTAL(9,Y42:Y48)</f>
        <v>127</v>
      </c>
      <c r="Z49" s="16">
        <f t="shared" ref="Z49" si="25">SUBTOTAL(9,Z42:Z48)</f>
        <v>132</v>
      </c>
      <c r="AA49" s="17">
        <f t="shared" si="3"/>
        <v>3.937007874015748E-2</v>
      </c>
      <c r="AB49" s="17">
        <f t="shared" si="4"/>
        <v>0.12820512820512819</v>
      </c>
      <c r="AC49" s="17">
        <f t="shared" si="5"/>
        <v>2.2195121951219514</v>
      </c>
    </row>
    <row r="50" spans="1:29" s="44" customFormat="1" outlineLevel="4" x14ac:dyDescent="0.2">
      <c r="A50" s="22"/>
      <c r="B50" s="39" t="s">
        <v>65</v>
      </c>
      <c r="C50" s="19"/>
      <c r="D50" s="24"/>
      <c r="E50" s="25"/>
      <c r="F50" s="41"/>
      <c r="G50" s="102">
        <f t="shared" ref="G50:M50" si="26">SUBTOTAL(9,G39:G48)</f>
        <v>80</v>
      </c>
      <c r="H50" s="102">
        <f t="shared" si="26"/>
        <v>74</v>
      </c>
      <c r="I50" s="102">
        <f t="shared" si="26"/>
        <v>68</v>
      </c>
      <c r="J50" s="102">
        <f t="shared" si="26"/>
        <v>73</v>
      </c>
      <c r="K50" s="102">
        <f t="shared" si="26"/>
        <v>68</v>
      </c>
      <c r="L50" s="102">
        <f t="shared" si="26"/>
        <v>61</v>
      </c>
      <c r="M50" s="102">
        <f t="shared" si="26"/>
        <v>77</v>
      </c>
      <c r="N50" s="28">
        <f t="shared" ref="N50:W50" si="27">SUBTOTAL(9,N39:N48)</f>
        <v>75</v>
      </c>
      <c r="O50" s="28">
        <f t="shared" si="27"/>
        <v>90</v>
      </c>
      <c r="P50" s="28">
        <f t="shared" si="27"/>
        <v>103</v>
      </c>
      <c r="Q50" s="28">
        <f t="shared" si="27"/>
        <v>117</v>
      </c>
      <c r="R50" s="28">
        <f t="shared" si="27"/>
        <v>147</v>
      </c>
      <c r="S50" s="28">
        <f t="shared" si="27"/>
        <v>160</v>
      </c>
      <c r="T50" s="28">
        <f t="shared" si="27"/>
        <v>174</v>
      </c>
      <c r="U50" s="28">
        <f t="shared" si="27"/>
        <v>182</v>
      </c>
      <c r="V50" s="28">
        <f t="shared" si="27"/>
        <v>184</v>
      </c>
      <c r="W50" s="28">
        <f t="shared" si="27"/>
        <v>197</v>
      </c>
      <c r="X50" s="28">
        <f>SUBTOTAL(9,X39:X48)</f>
        <v>184</v>
      </c>
      <c r="Y50" s="28">
        <f t="shared" ref="Y50:Z50" si="28">SUBTOTAL(9,Y39:Y48)</f>
        <v>182</v>
      </c>
      <c r="Z50" s="29">
        <f t="shared" si="28"/>
        <v>192</v>
      </c>
      <c r="AA50" s="17">
        <f t="shared" si="3"/>
        <v>5.4945054945054944E-2</v>
      </c>
      <c r="AB50" s="17">
        <f t="shared" si="4"/>
        <v>4.3478260869565216E-2</v>
      </c>
      <c r="AC50" s="17">
        <f t="shared" si="5"/>
        <v>0.86407766990291257</v>
      </c>
    </row>
    <row r="51" spans="1:29" outlineLevel="6" x14ac:dyDescent="0.2">
      <c r="A51" s="8" t="s">
        <v>18</v>
      </c>
      <c r="B51" s="45" t="s">
        <v>80</v>
      </c>
      <c r="C51" s="32" t="s">
        <v>81</v>
      </c>
      <c r="D51" s="20" t="s">
        <v>82</v>
      </c>
      <c r="E51" s="12" t="s">
        <v>83</v>
      </c>
      <c r="F51" s="33">
        <v>2705</v>
      </c>
      <c r="G51" s="101">
        <v>326</v>
      </c>
      <c r="H51" s="101">
        <v>391</v>
      </c>
      <c r="I51" s="101">
        <v>434</v>
      </c>
      <c r="J51" s="101">
        <v>487</v>
      </c>
      <c r="K51" s="101">
        <v>512</v>
      </c>
      <c r="L51" s="101">
        <v>520</v>
      </c>
      <c r="M51" s="101">
        <v>543</v>
      </c>
      <c r="N51" s="15">
        <v>528</v>
      </c>
      <c r="O51" s="15">
        <v>531</v>
      </c>
      <c r="P51" s="15">
        <v>517</v>
      </c>
      <c r="Q51" s="15">
        <v>519</v>
      </c>
      <c r="R51" s="15">
        <v>549</v>
      </c>
      <c r="S51" s="15">
        <v>541</v>
      </c>
      <c r="T51" s="15">
        <v>552</v>
      </c>
      <c r="U51" s="15">
        <v>580</v>
      </c>
      <c r="V51" s="15">
        <f>614-12</f>
        <v>602</v>
      </c>
      <c r="W51" s="15">
        <f>593-16</f>
        <v>577</v>
      </c>
      <c r="X51" s="15">
        <v>497</v>
      </c>
      <c r="Y51" s="15">
        <v>445</v>
      </c>
      <c r="Z51" s="34">
        <v>416</v>
      </c>
      <c r="AA51" s="17">
        <f t="shared" si="3"/>
        <v>-6.5168539325842698E-2</v>
      </c>
      <c r="AB51" s="17">
        <f t="shared" si="4"/>
        <v>-0.30897009966777411</v>
      </c>
      <c r="AC51" s="17">
        <f t="shared" si="5"/>
        <v>-0.195357833655706</v>
      </c>
    </row>
    <row r="52" spans="1:29" outlineLevel="6" x14ac:dyDescent="0.2">
      <c r="A52" s="8" t="s">
        <v>18</v>
      </c>
      <c r="B52" s="45" t="s">
        <v>80</v>
      </c>
      <c r="C52" s="32" t="s">
        <v>81</v>
      </c>
      <c r="D52" s="20" t="s">
        <v>84</v>
      </c>
      <c r="E52" s="12"/>
      <c r="F52" s="33">
        <v>2715</v>
      </c>
      <c r="G52" s="101"/>
      <c r="H52" s="101"/>
      <c r="I52" s="101"/>
      <c r="J52" s="101"/>
      <c r="K52" s="101"/>
      <c r="L52" s="101"/>
      <c r="M52" s="101"/>
      <c r="N52" s="15"/>
      <c r="O52" s="15"/>
      <c r="P52" s="15"/>
      <c r="Q52" s="15"/>
      <c r="R52" s="15">
        <v>1</v>
      </c>
      <c r="S52" s="15">
        <v>0</v>
      </c>
      <c r="T52" s="15">
        <v>0</v>
      </c>
      <c r="U52" s="15">
        <v>1</v>
      </c>
      <c r="V52" s="15">
        <v>1</v>
      </c>
      <c r="W52" s="15"/>
      <c r="X52" s="15"/>
      <c r="Y52" s="15"/>
      <c r="Z52" s="34"/>
      <c r="AA52" s="17" t="str">
        <f t="shared" si="3"/>
        <v/>
      </c>
      <c r="AB52" s="17">
        <f t="shared" si="4"/>
        <v>-1</v>
      </c>
      <c r="AC52" s="17" t="str">
        <f t="shared" si="5"/>
        <v/>
      </c>
    </row>
    <row r="53" spans="1:29" outlineLevel="6" x14ac:dyDescent="0.2">
      <c r="A53" s="8" t="s">
        <v>18</v>
      </c>
      <c r="B53" s="45" t="s">
        <v>80</v>
      </c>
      <c r="C53" s="32" t="s">
        <v>81</v>
      </c>
      <c r="D53" s="20" t="s">
        <v>466</v>
      </c>
      <c r="E53" s="12"/>
      <c r="F53" s="33">
        <v>2743</v>
      </c>
      <c r="G53" s="101"/>
      <c r="H53" s="101"/>
      <c r="I53" s="101"/>
      <c r="J53" s="101"/>
      <c r="K53" s="101"/>
      <c r="L53" s="101"/>
      <c r="M53" s="101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>
        <v>4</v>
      </c>
      <c r="Z53" s="34">
        <v>24</v>
      </c>
      <c r="AA53" s="17">
        <f t="shared" si="3"/>
        <v>5</v>
      </c>
      <c r="AB53" s="17" t="str">
        <f t="shared" si="4"/>
        <v/>
      </c>
      <c r="AC53" s="17" t="str">
        <f t="shared" si="5"/>
        <v/>
      </c>
    </row>
    <row r="54" spans="1:29" outlineLevel="6" x14ac:dyDescent="0.2">
      <c r="A54" s="8" t="s">
        <v>18</v>
      </c>
      <c r="B54" s="45" t="s">
        <v>80</v>
      </c>
      <c r="C54" s="32" t="s">
        <v>81</v>
      </c>
      <c r="D54" s="20" t="s">
        <v>497</v>
      </c>
      <c r="E54" s="12"/>
      <c r="F54" s="33">
        <v>2744</v>
      </c>
      <c r="G54" s="101"/>
      <c r="H54" s="101"/>
      <c r="I54" s="101"/>
      <c r="J54" s="101"/>
      <c r="K54" s="101"/>
      <c r="L54" s="101"/>
      <c r="M54" s="101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34">
        <v>17</v>
      </c>
      <c r="AA54" s="17"/>
      <c r="AB54" s="17"/>
      <c r="AC54" s="17"/>
    </row>
    <row r="55" spans="1:29" outlineLevel="5" x14ac:dyDescent="0.2">
      <c r="A55" s="8"/>
      <c r="B55" s="45"/>
      <c r="C55" s="40" t="s">
        <v>85</v>
      </c>
      <c r="D55" s="20"/>
      <c r="E55" s="12"/>
      <c r="F55" s="33"/>
      <c r="G55" s="101">
        <f t="shared" ref="G55:M55" si="29">SUBTOTAL(9,G51:G52)</f>
        <v>326</v>
      </c>
      <c r="H55" s="101">
        <f t="shared" si="29"/>
        <v>391</v>
      </c>
      <c r="I55" s="101">
        <f t="shared" si="29"/>
        <v>434</v>
      </c>
      <c r="J55" s="101">
        <f t="shared" si="29"/>
        <v>487</v>
      </c>
      <c r="K55" s="101">
        <f t="shared" si="29"/>
        <v>512</v>
      </c>
      <c r="L55" s="101">
        <f t="shared" si="29"/>
        <v>520</v>
      </c>
      <c r="M55" s="101">
        <f t="shared" si="29"/>
        <v>543</v>
      </c>
      <c r="N55" s="15">
        <f t="shared" ref="N55:W55" si="30">SUBTOTAL(9,N51:N52)</f>
        <v>528</v>
      </c>
      <c r="O55" s="15">
        <f t="shared" si="30"/>
        <v>531</v>
      </c>
      <c r="P55" s="15">
        <f t="shared" si="30"/>
        <v>517</v>
      </c>
      <c r="Q55" s="15">
        <f t="shared" si="30"/>
        <v>519</v>
      </c>
      <c r="R55" s="15">
        <f t="shared" si="30"/>
        <v>550</v>
      </c>
      <c r="S55" s="15">
        <f t="shared" si="30"/>
        <v>541</v>
      </c>
      <c r="T55" s="15">
        <f t="shared" si="30"/>
        <v>552</v>
      </c>
      <c r="U55" s="15">
        <f t="shared" si="30"/>
        <v>581</v>
      </c>
      <c r="V55" s="15">
        <f t="shared" si="30"/>
        <v>603</v>
      </c>
      <c r="W55" s="15">
        <f t="shared" si="30"/>
        <v>577</v>
      </c>
      <c r="X55" s="15">
        <f>SUBTOTAL(9,X51:X52)</f>
        <v>497</v>
      </c>
      <c r="Y55" s="15">
        <f>SUBTOTAL(9,Y51:Y53)</f>
        <v>449</v>
      </c>
      <c r="Z55" s="34">
        <f>SUBTOTAL(9,Z51:Z54)</f>
        <v>457</v>
      </c>
      <c r="AA55" s="17">
        <f t="shared" si="3"/>
        <v>1.7817371937639197E-2</v>
      </c>
      <c r="AB55" s="17">
        <f t="shared" si="4"/>
        <v>-0.24212271973466004</v>
      </c>
      <c r="AC55" s="17">
        <f t="shared" si="5"/>
        <v>-0.11605415860735009</v>
      </c>
    </row>
    <row r="56" spans="1:29" outlineLevel="6" x14ac:dyDescent="0.2">
      <c r="A56" s="8" t="s">
        <v>18</v>
      </c>
      <c r="B56" s="45" t="s">
        <v>80</v>
      </c>
      <c r="C56" s="32" t="s">
        <v>86</v>
      </c>
      <c r="D56" s="20" t="s">
        <v>87</v>
      </c>
      <c r="E56" s="12">
        <v>635</v>
      </c>
      <c r="F56" s="33">
        <v>2725</v>
      </c>
      <c r="G56" s="101">
        <v>92</v>
      </c>
      <c r="H56" s="101">
        <v>91</v>
      </c>
      <c r="I56" s="101">
        <v>126</v>
      </c>
      <c r="J56" s="101">
        <v>103</v>
      </c>
      <c r="K56" s="101">
        <v>131</v>
      </c>
      <c r="L56" s="101">
        <v>106</v>
      </c>
      <c r="M56" s="101">
        <v>153</v>
      </c>
      <c r="N56" s="15">
        <v>157</v>
      </c>
      <c r="O56" s="15">
        <v>9</v>
      </c>
      <c r="P56" s="15">
        <v>0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/>
      <c r="X56" s="15"/>
      <c r="Y56" s="15"/>
      <c r="Z56" s="34"/>
      <c r="AA56" s="17" t="str">
        <f t="shared" si="3"/>
        <v/>
      </c>
      <c r="AB56" s="17">
        <f t="shared" si="4"/>
        <v>-1</v>
      </c>
      <c r="AC56" s="17" t="str">
        <f t="shared" si="5"/>
        <v/>
      </c>
    </row>
    <row r="57" spans="1:29" outlineLevel="6" x14ac:dyDescent="0.2">
      <c r="A57" s="8" t="s">
        <v>18</v>
      </c>
      <c r="B57" s="45" t="s">
        <v>80</v>
      </c>
      <c r="C57" s="32" t="s">
        <v>86</v>
      </c>
      <c r="D57" s="20" t="s">
        <v>88</v>
      </c>
      <c r="E57" s="12">
        <v>645</v>
      </c>
      <c r="F57" s="33">
        <v>2735</v>
      </c>
      <c r="G57" s="101">
        <v>15</v>
      </c>
      <c r="H57" s="101">
        <v>41</v>
      </c>
      <c r="I57" s="101">
        <v>22</v>
      </c>
      <c r="J57" s="101">
        <v>62</v>
      </c>
      <c r="K57" s="101">
        <v>29</v>
      </c>
      <c r="L57" s="101">
        <v>70</v>
      </c>
      <c r="M57" s="101">
        <v>49</v>
      </c>
      <c r="N57" s="15">
        <v>67</v>
      </c>
      <c r="O57" s="15">
        <v>224</v>
      </c>
      <c r="P57" s="15">
        <v>234</v>
      </c>
      <c r="Q57" s="15">
        <v>216</v>
      </c>
      <c r="R57" s="15">
        <v>211</v>
      </c>
      <c r="S57" s="15">
        <v>187</v>
      </c>
      <c r="T57" s="15">
        <v>185</v>
      </c>
      <c r="U57" s="15">
        <v>188</v>
      </c>
      <c r="V57" s="15">
        <f>176-7</f>
        <v>169</v>
      </c>
      <c r="W57" s="15">
        <f>161-1</f>
        <v>160</v>
      </c>
      <c r="X57" s="15">
        <v>142</v>
      </c>
      <c r="Y57" s="15">
        <v>119</v>
      </c>
      <c r="Z57" s="34">
        <v>94</v>
      </c>
      <c r="AA57" s="17">
        <f t="shared" si="3"/>
        <v>-0.21008403361344538</v>
      </c>
      <c r="AB57" s="17">
        <f t="shared" si="4"/>
        <v>-0.4437869822485207</v>
      </c>
      <c r="AC57" s="17">
        <f t="shared" si="5"/>
        <v>-0.59829059829059827</v>
      </c>
    </row>
    <row r="58" spans="1:29" outlineLevel="5" x14ac:dyDescent="0.2">
      <c r="A58" s="8"/>
      <c r="B58" s="45"/>
      <c r="C58" s="40" t="s">
        <v>89</v>
      </c>
      <c r="D58" s="20"/>
      <c r="E58" s="12"/>
      <c r="F58" s="33"/>
      <c r="G58" s="101">
        <f t="shared" ref="G58:M58" si="31">SUBTOTAL(9,G56:G57)</f>
        <v>107</v>
      </c>
      <c r="H58" s="101">
        <f t="shared" si="31"/>
        <v>132</v>
      </c>
      <c r="I58" s="101">
        <f t="shared" si="31"/>
        <v>148</v>
      </c>
      <c r="J58" s="101">
        <f t="shared" si="31"/>
        <v>165</v>
      </c>
      <c r="K58" s="101">
        <f t="shared" si="31"/>
        <v>160</v>
      </c>
      <c r="L58" s="101">
        <f t="shared" si="31"/>
        <v>176</v>
      </c>
      <c r="M58" s="101">
        <f t="shared" si="31"/>
        <v>202</v>
      </c>
      <c r="N58" s="15">
        <f t="shared" ref="N58:X58" si="32">SUBTOTAL(9,N56:N57)</f>
        <v>224</v>
      </c>
      <c r="O58" s="15">
        <f t="shared" si="32"/>
        <v>233</v>
      </c>
      <c r="P58" s="15">
        <f t="shared" si="32"/>
        <v>234</v>
      </c>
      <c r="Q58" s="15">
        <f t="shared" si="32"/>
        <v>217</v>
      </c>
      <c r="R58" s="15">
        <f t="shared" si="32"/>
        <v>212</v>
      </c>
      <c r="S58" s="15">
        <f t="shared" si="32"/>
        <v>188</v>
      </c>
      <c r="T58" s="15">
        <f t="shared" si="32"/>
        <v>186</v>
      </c>
      <c r="U58" s="15">
        <f t="shared" si="32"/>
        <v>189</v>
      </c>
      <c r="V58" s="15">
        <f t="shared" si="32"/>
        <v>170</v>
      </c>
      <c r="W58" s="15">
        <f t="shared" si="32"/>
        <v>160</v>
      </c>
      <c r="X58" s="15">
        <f t="shared" si="32"/>
        <v>142</v>
      </c>
      <c r="Y58" s="15">
        <f t="shared" ref="Y58" si="33">SUBTOTAL(9,Y56:Y57)</f>
        <v>119</v>
      </c>
      <c r="Z58" s="34">
        <f>SUBTOTAL(9,Z56:Z57)</f>
        <v>94</v>
      </c>
      <c r="AA58" s="17">
        <f t="shared" si="3"/>
        <v>-0.21008403361344538</v>
      </c>
      <c r="AB58" s="17">
        <f t="shared" si="4"/>
        <v>-0.44705882352941179</v>
      </c>
      <c r="AC58" s="17">
        <f t="shared" si="5"/>
        <v>-0.59829059829059827</v>
      </c>
    </row>
    <row r="59" spans="1:29" s="44" customFormat="1" outlineLevel="4" x14ac:dyDescent="0.2">
      <c r="A59" s="22"/>
      <c r="B59" s="39" t="s">
        <v>90</v>
      </c>
      <c r="C59" s="40"/>
      <c r="D59" s="24"/>
      <c r="E59" s="25"/>
      <c r="F59" s="41"/>
      <c r="G59" s="102">
        <f t="shared" ref="G59:M59" si="34">SUBTOTAL(9,G51:G57)</f>
        <v>433</v>
      </c>
      <c r="H59" s="102">
        <f t="shared" si="34"/>
        <v>523</v>
      </c>
      <c r="I59" s="102">
        <f t="shared" si="34"/>
        <v>582</v>
      </c>
      <c r="J59" s="102">
        <f t="shared" si="34"/>
        <v>652</v>
      </c>
      <c r="K59" s="102">
        <f t="shared" si="34"/>
        <v>672</v>
      </c>
      <c r="L59" s="102">
        <f t="shared" si="34"/>
        <v>696</v>
      </c>
      <c r="M59" s="102">
        <f t="shared" si="34"/>
        <v>745</v>
      </c>
      <c r="N59" s="28">
        <f t="shared" ref="N59:X59" si="35">SUBTOTAL(9,N51:N57)</f>
        <v>752</v>
      </c>
      <c r="O59" s="28">
        <f t="shared" si="35"/>
        <v>764</v>
      </c>
      <c r="P59" s="28">
        <f t="shared" si="35"/>
        <v>751</v>
      </c>
      <c r="Q59" s="28">
        <f t="shared" si="35"/>
        <v>736</v>
      </c>
      <c r="R59" s="28">
        <f t="shared" si="35"/>
        <v>762</v>
      </c>
      <c r="S59" s="28">
        <f t="shared" si="35"/>
        <v>729</v>
      </c>
      <c r="T59" s="28">
        <f t="shared" si="35"/>
        <v>738</v>
      </c>
      <c r="U59" s="28">
        <f t="shared" si="35"/>
        <v>770</v>
      </c>
      <c r="V59" s="28">
        <f t="shared" si="35"/>
        <v>773</v>
      </c>
      <c r="W59" s="28">
        <f t="shared" si="35"/>
        <v>737</v>
      </c>
      <c r="X59" s="28">
        <f t="shared" si="35"/>
        <v>639</v>
      </c>
      <c r="Y59" s="28">
        <f t="shared" ref="Y59" si="36">SUBTOTAL(9,Y51:Y57)</f>
        <v>568</v>
      </c>
      <c r="Z59" s="43">
        <f>SUBTOTAL(9,Z51:Z57)</f>
        <v>551</v>
      </c>
      <c r="AA59" s="17">
        <f t="shared" si="3"/>
        <v>-2.9929577464788731E-2</v>
      </c>
      <c r="AB59" s="17">
        <f t="shared" si="4"/>
        <v>-0.2871927554980595</v>
      </c>
      <c r="AC59" s="17">
        <f t="shared" si="5"/>
        <v>-0.26631158455392812</v>
      </c>
    </row>
    <row r="60" spans="1:29" outlineLevel="6" x14ac:dyDescent="0.2">
      <c r="A60" s="8" t="s">
        <v>18</v>
      </c>
      <c r="B60" s="31" t="s">
        <v>91</v>
      </c>
      <c r="C60" s="32" t="s">
        <v>91</v>
      </c>
      <c r="D60" s="20" t="s">
        <v>92</v>
      </c>
      <c r="E60" s="12">
        <v>671</v>
      </c>
      <c r="F60" s="33">
        <v>3700</v>
      </c>
      <c r="G60" s="101">
        <v>2</v>
      </c>
      <c r="H60" s="101">
        <v>4</v>
      </c>
      <c r="I60" s="101">
        <v>4</v>
      </c>
      <c r="J60" s="101">
        <v>9</v>
      </c>
      <c r="K60" s="101">
        <v>8</v>
      </c>
      <c r="L60" s="101">
        <v>7</v>
      </c>
      <c r="M60" s="101">
        <v>14</v>
      </c>
      <c r="N60" s="15">
        <v>13</v>
      </c>
      <c r="O60" s="15">
        <v>16</v>
      </c>
      <c r="P60" s="15">
        <v>22</v>
      </c>
      <c r="Q60" s="15">
        <v>16</v>
      </c>
      <c r="R60" s="15">
        <v>17</v>
      </c>
      <c r="S60" s="15">
        <v>19</v>
      </c>
      <c r="T60" s="15">
        <v>27</v>
      </c>
      <c r="U60" s="15">
        <v>20</v>
      </c>
      <c r="V60" s="15">
        <f>26-2</f>
        <v>24</v>
      </c>
      <c r="W60" s="15">
        <v>31</v>
      </c>
      <c r="X60" s="15">
        <v>22</v>
      </c>
      <c r="Y60" s="15">
        <v>25</v>
      </c>
      <c r="Z60" s="16">
        <v>16</v>
      </c>
      <c r="AA60" s="17">
        <f t="shared" si="3"/>
        <v>-0.36</v>
      </c>
      <c r="AB60" s="17">
        <f t="shared" si="4"/>
        <v>-0.33333333333333331</v>
      </c>
      <c r="AC60" s="17">
        <f t="shared" si="5"/>
        <v>-0.27272727272727271</v>
      </c>
    </row>
    <row r="61" spans="1:29" s="44" customFormat="1" outlineLevel="4" x14ac:dyDescent="0.2">
      <c r="A61" s="22"/>
      <c r="B61" s="39" t="s">
        <v>93</v>
      </c>
      <c r="C61" s="40"/>
      <c r="D61" s="24"/>
      <c r="E61" s="25"/>
      <c r="F61" s="41"/>
      <c r="G61" s="102">
        <f t="shared" ref="G61:M61" si="37">SUBTOTAL(9,G60:G60)</f>
        <v>2</v>
      </c>
      <c r="H61" s="102">
        <f t="shared" si="37"/>
        <v>4</v>
      </c>
      <c r="I61" s="102">
        <f t="shared" si="37"/>
        <v>4</v>
      </c>
      <c r="J61" s="102">
        <f t="shared" si="37"/>
        <v>9</v>
      </c>
      <c r="K61" s="102">
        <f t="shared" si="37"/>
        <v>8</v>
      </c>
      <c r="L61" s="102">
        <f t="shared" si="37"/>
        <v>7</v>
      </c>
      <c r="M61" s="102">
        <f t="shared" si="37"/>
        <v>14</v>
      </c>
      <c r="N61" s="28">
        <f t="shared" ref="N61:X61" si="38">SUBTOTAL(9,N60:N60)</f>
        <v>13</v>
      </c>
      <c r="O61" s="28">
        <f t="shared" si="38"/>
        <v>16</v>
      </c>
      <c r="P61" s="28">
        <f t="shared" si="38"/>
        <v>22</v>
      </c>
      <c r="Q61" s="28">
        <f t="shared" si="38"/>
        <v>16</v>
      </c>
      <c r="R61" s="28">
        <f t="shared" si="38"/>
        <v>17</v>
      </c>
      <c r="S61" s="28">
        <f t="shared" si="38"/>
        <v>19</v>
      </c>
      <c r="T61" s="28">
        <f t="shared" si="38"/>
        <v>27</v>
      </c>
      <c r="U61" s="28">
        <f t="shared" si="38"/>
        <v>20</v>
      </c>
      <c r="V61" s="28">
        <f t="shared" si="38"/>
        <v>24</v>
      </c>
      <c r="W61" s="28">
        <f t="shared" si="38"/>
        <v>31</v>
      </c>
      <c r="X61" s="28">
        <f t="shared" si="38"/>
        <v>22</v>
      </c>
      <c r="Y61" s="28">
        <f t="shared" ref="Y61:Z61" si="39">SUBTOTAL(9,Y60:Y60)</f>
        <v>25</v>
      </c>
      <c r="Z61" s="29">
        <f t="shared" si="39"/>
        <v>16</v>
      </c>
      <c r="AA61" s="17">
        <f t="shared" si="3"/>
        <v>-0.36</v>
      </c>
      <c r="AB61" s="17">
        <f t="shared" si="4"/>
        <v>-0.33333333333333331</v>
      </c>
      <c r="AC61" s="17">
        <f t="shared" si="5"/>
        <v>-0.27272727272727271</v>
      </c>
    </row>
    <row r="62" spans="1:29" outlineLevel="6" x14ac:dyDescent="0.2">
      <c r="A62" s="8" t="s">
        <v>18</v>
      </c>
      <c r="B62" s="31" t="s">
        <v>94</v>
      </c>
      <c r="C62" s="32" t="s">
        <v>95</v>
      </c>
      <c r="D62" s="20" t="s">
        <v>96</v>
      </c>
      <c r="E62" s="12"/>
      <c r="F62" s="33">
        <v>1450</v>
      </c>
      <c r="G62" s="101"/>
      <c r="H62" s="101"/>
      <c r="I62" s="101"/>
      <c r="J62" s="101"/>
      <c r="K62" s="101"/>
      <c r="L62" s="101"/>
      <c r="M62" s="101"/>
      <c r="N62" s="15"/>
      <c r="O62" s="15"/>
      <c r="P62" s="15"/>
      <c r="Q62" s="15">
        <v>15</v>
      </c>
      <c r="R62" s="15">
        <v>59</v>
      </c>
      <c r="S62" s="15">
        <v>57</v>
      </c>
      <c r="T62" s="15">
        <v>65</v>
      </c>
      <c r="U62" s="15">
        <v>61</v>
      </c>
      <c r="V62" s="15">
        <f>72-4</f>
        <v>68</v>
      </c>
      <c r="W62" s="15">
        <f>81-2</f>
        <v>79</v>
      </c>
      <c r="X62" s="15">
        <v>75</v>
      </c>
      <c r="Y62" s="15">
        <v>59</v>
      </c>
      <c r="Z62" s="34">
        <v>43</v>
      </c>
      <c r="AA62" s="17">
        <f t="shared" si="3"/>
        <v>-0.2711864406779661</v>
      </c>
      <c r="AB62" s="17">
        <f t="shared" si="4"/>
        <v>-0.36764705882352944</v>
      </c>
      <c r="AC62" s="17" t="str">
        <f t="shared" si="5"/>
        <v/>
      </c>
    </row>
    <row r="63" spans="1:29" outlineLevel="6" x14ac:dyDescent="0.2">
      <c r="A63" s="8" t="s">
        <v>18</v>
      </c>
      <c r="B63" s="31" t="s">
        <v>94</v>
      </c>
      <c r="C63" s="32" t="s">
        <v>95</v>
      </c>
      <c r="D63" s="20" t="s">
        <v>467</v>
      </c>
      <c r="E63" s="12"/>
      <c r="F63" s="33">
        <v>1453</v>
      </c>
      <c r="G63" s="101"/>
      <c r="H63" s="101"/>
      <c r="I63" s="101"/>
      <c r="J63" s="101"/>
      <c r="K63" s="101"/>
      <c r="L63" s="101"/>
      <c r="M63" s="101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>
        <v>38</v>
      </c>
      <c r="Z63" s="34">
        <v>50</v>
      </c>
      <c r="AA63" s="17">
        <f t="shared" si="3"/>
        <v>0.31578947368421051</v>
      </c>
      <c r="AB63" s="17" t="str">
        <f t="shared" si="4"/>
        <v/>
      </c>
      <c r="AC63" s="17" t="str">
        <f t="shared" si="5"/>
        <v/>
      </c>
    </row>
    <row r="64" spans="1:29" outlineLevel="5" x14ac:dyDescent="0.2">
      <c r="A64" s="8"/>
      <c r="B64" s="31"/>
      <c r="C64" s="40" t="s">
        <v>97</v>
      </c>
      <c r="D64" s="20"/>
      <c r="E64" s="12"/>
      <c r="F64" s="33"/>
      <c r="G64" s="101">
        <f t="shared" ref="G64:M64" si="40">SUBTOTAL(9,G62:G62)</f>
        <v>0</v>
      </c>
      <c r="H64" s="101">
        <f t="shared" si="40"/>
        <v>0</v>
      </c>
      <c r="I64" s="101">
        <f t="shared" si="40"/>
        <v>0</v>
      </c>
      <c r="J64" s="101">
        <f t="shared" si="40"/>
        <v>0</v>
      </c>
      <c r="K64" s="101">
        <f t="shared" si="40"/>
        <v>0</v>
      </c>
      <c r="L64" s="101">
        <f t="shared" si="40"/>
        <v>0</v>
      </c>
      <c r="M64" s="101">
        <f t="shared" si="40"/>
        <v>0</v>
      </c>
      <c r="N64" s="15">
        <f t="shared" ref="N64:X64" si="41">SUBTOTAL(9,N62:N62)</f>
        <v>0</v>
      </c>
      <c r="O64" s="15">
        <f t="shared" si="41"/>
        <v>0</v>
      </c>
      <c r="P64" s="15">
        <f t="shared" si="41"/>
        <v>0</v>
      </c>
      <c r="Q64" s="15">
        <f t="shared" si="41"/>
        <v>15</v>
      </c>
      <c r="R64" s="15">
        <f t="shared" si="41"/>
        <v>59</v>
      </c>
      <c r="S64" s="15">
        <f t="shared" si="41"/>
        <v>57</v>
      </c>
      <c r="T64" s="15">
        <f t="shared" si="41"/>
        <v>65</v>
      </c>
      <c r="U64" s="15">
        <f t="shared" si="41"/>
        <v>61</v>
      </c>
      <c r="V64" s="15">
        <f t="shared" si="41"/>
        <v>68</v>
      </c>
      <c r="W64" s="15">
        <f t="shared" si="41"/>
        <v>79</v>
      </c>
      <c r="X64" s="15">
        <f t="shared" si="41"/>
        <v>75</v>
      </c>
      <c r="Y64" s="15">
        <f>SUBTOTAL(9,Y62:Y63)</f>
        <v>97</v>
      </c>
      <c r="Z64" s="34">
        <f>SUBTOTAL(9,Z62:Z63)</f>
        <v>93</v>
      </c>
      <c r="AA64" s="17">
        <f t="shared" si="3"/>
        <v>-4.1237113402061855E-2</v>
      </c>
      <c r="AB64" s="17">
        <f t="shared" si="4"/>
        <v>0.36764705882352944</v>
      </c>
      <c r="AC64" s="17" t="str">
        <f t="shared" si="5"/>
        <v/>
      </c>
    </row>
    <row r="65" spans="1:29" outlineLevel="6" x14ac:dyDescent="0.2">
      <c r="A65" s="8" t="s">
        <v>18</v>
      </c>
      <c r="B65" s="31" t="s">
        <v>94</v>
      </c>
      <c r="C65" s="32" t="s">
        <v>98</v>
      </c>
      <c r="D65" s="20" t="s">
        <v>99</v>
      </c>
      <c r="E65" s="12"/>
      <c r="F65" s="33">
        <v>1420</v>
      </c>
      <c r="G65" s="101"/>
      <c r="H65" s="101"/>
      <c r="I65" s="101"/>
      <c r="J65" s="101"/>
      <c r="K65" s="101"/>
      <c r="L65" s="101"/>
      <c r="M65" s="101"/>
      <c r="N65" s="15"/>
      <c r="O65" s="15"/>
      <c r="P65" s="15"/>
      <c r="Q65" s="15"/>
      <c r="R65" s="15"/>
      <c r="S65" s="15"/>
      <c r="T65" s="15">
        <v>30</v>
      </c>
      <c r="U65" s="15">
        <v>40</v>
      </c>
      <c r="V65" s="15">
        <f>72-1</f>
        <v>71</v>
      </c>
      <c r="W65" s="15">
        <f>98-4</f>
        <v>94</v>
      </c>
      <c r="X65" s="15">
        <v>97</v>
      </c>
      <c r="Y65" s="15">
        <v>89</v>
      </c>
      <c r="Z65" s="34">
        <v>88</v>
      </c>
      <c r="AA65" s="17">
        <f t="shared" si="3"/>
        <v>-1.1235955056179775E-2</v>
      </c>
      <c r="AB65" s="17">
        <f t="shared" si="4"/>
        <v>0.23943661971830985</v>
      </c>
      <c r="AC65" s="17" t="str">
        <f t="shared" si="5"/>
        <v/>
      </c>
    </row>
    <row r="66" spans="1:29" outlineLevel="5" x14ac:dyDescent="0.2">
      <c r="A66" s="8"/>
      <c r="B66" s="31"/>
      <c r="C66" s="40" t="s">
        <v>100</v>
      </c>
      <c r="D66" s="20"/>
      <c r="E66" s="12"/>
      <c r="F66" s="33"/>
      <c r="G66" s="101">
        <f t="shared" ref="G66:M66" si="42">SUBTOTAL(9,G65:G65)</f>
        <v>0</v>
      </c>
      <c r="H66" s="101">
        <f t="shared" si="42"/>
        <v>0</v>
      </c>
      <c r="I66" s="101">
        <f t="shared" si="42"/>
        <v>0</v>
      </c>
      <c r="J66" s="101">
        <f t="shared" si="42"/>
        <v>0</v>
      </c>
      <c r="K66" s="101">
        <f t="shared" si="42"/>
        <v>0</v>
      </c>
      <c r="L66" s="101">
        <f t="shared" si="42"/>
        <v>0</v>
      </c>
      <c r="M66" s="101">
        <f t="shared" si="42"/>
        <v>0</v>
      </c>
      <c r="N66" s="15">
        <f t="shared" ref="N66:X66" si="43">SUBTOTAL(9,N65:N65)</f>
        <v>0</v>
      </c>
      <c r="O66" s="15">
        <f t="shared" si="43"/>
        <v>0</v>
      </c>
      <c r="P66" s="15">
        <f t="shared" si="43"/>
        <v>0</v>
      </c>
      <c r="Q66" s="15">
        <f t="shared" si="43"/>
        <v>0</v>
      </c>
      <c r="R66" s="15">
        <f t="shared" si="43"/>
        <v>0</v>
      </c>
      <c r="S66" s="15">
        <f t="shared" si="43"/>
        <v>0</v>
      </c>
      <c r="T66" s="15">
        <f t="shared" si="43"/>
        <v>30</v>
      </c>
      <c r="U66" s="15">
        <f t="shared" si="43"/>
        <v>40</v>
      </c>
      <c r="V66" s="15">
        <f t="shared" si="43"/>
        <v>71</v>
      </c>
      <c r="W66" s="15">
        <f t="shared" si="43"/>
        <v>94</v>
      </c>
      <c r="X66" s="15">
        <f t="shared" si="43"/>
        <v>97</v>
      </c>
      <c r="Y66" s="15">
        <f t="shared" ref="Y66" si="44">SUBTOTAL(9,Y65:Y65)</f>
        <v>89</v>
      </c>
      <c r="Z66" s="34">
        <f>SUBTOTAL(9,Z65:Z65)</f>
        <v>88</v>
      </c>
      <c r="AA66" s="17">
        <f t="shared" si="3"/>
        <v>-1.1235955056179775E-2</v>
      </c>
      <c r="AB66" s="17">
        <f t="shared" si="4"/>
        <v>0.23943661971830985</v>
      </c>
      <c r="AC66" s="17" t="str">
        <f t="shared" si="5"/>
        <v/>
      </c>
    </row>
    <row r="67" spans="1:29" outlineLevel="6" x14ac:dyDescent="0.2">
      <c r="A67" s="8" t="s">
        <v>18</v>
      </c>
      <c r="B67" s="31" t="s">
        <v>94</v>
      </c>
      <c r="C67" s="32" t="s">
        <v>94</v>
      </c>
      <c r="D67" s="20" t="s">
        <v>101</v>
      </c>
      <c r="E67" s="12">
        <v>613</v>
      </c>
      <c r="F67" s="33">
        <v>1405</v>
      </c>
      <c r="G67" s="101">
        <v>207</v>
      </c>
      <c r="H67" s="101">
        <v>195</v>
      </c>
      <c r="I67" s="101">
        <v>226</v>
      </c>
      <c r="J67" s="101">
        <v>220</v>
      </c>
      <c r="K67" s="101">
        <v>243</v>
      </c>
      <c r="L67" s="101">
        <v>255</v>
      </c>
      <c r="M67" s="101">
        <v>265</v>
      </c>
      <c r="N67" s="15">
        <v>254</v>
      </c>
      <c r="O67" s="15">
        <v>275</v>
      </c>
      <c r="P67" s="15">
        <v>259</v>
      </c>
      <c r="Q67" s="15">
        <v>233</v>
      </c>
      <c r="R67" s="15">
        <v>250</v>
      </c>
      <c r="S67" s="15">
        <v>277</v>
      </c>
      <c r="T67" s="15">
        <v>243</v>
      </c>
      <c r="U67" s="15">
        <v>225</v>
      </c>
      <c r="V67" s="15">
        <f>215-8</f>
        <v>207</v>
      </c>
      <c r="W67" s="15">
        <f>180-1</f>
        <v>179</v>
      </c>
      <c r="X67" s="15">
        <v>149</v>
      </c>
      <c r="Y67" s="15">
        <v>146</v>
      </c>
      <c r="Z67" s="34">
        <v>138</v>
      </c>
      <c r="AA67" s="17">
        <f t="shared" si="3"/>
        <v>-5.4794520547945202E-2</v>
      </c>
      <c r="AB67" s="17">
        <f t="shared" si="4"/>
        <v>-0.33333333333333331</v>
      </c>
      <c r="AC67" s="17">
        <f t="shared" si="5"/>
        <v>-0.46718146718146719</v>
      </c>
    </row>
    <row r="68" spans="1:29" outlineLevel="6" x14ac:dyDescent="0.2">
      <c r="A68" s="8" t="s">
        <v>18</v>
      </c>
      <c r="B68" s="31" t="s">
        <v>94</v>
      </c>
      <c r="C68" s="32" t="s">
        <v>94</v>
      </c>
      <c r="D68" s="20" t="s">
        <v>102</v>
      </c>
      <c r="E68" s="12"/>
      <c r="F68" s="33">
        <v>1410</v>
      </c>
      <c r="G68" s="101"/>
      <c r="H68" s="101"/>
      <c r="I68" s="101">
        <v>1</v>
      </c>
      <c r="J68" s="101">
        <v>1</v>
      </c>
      <c r="K68" s="101">
        <v>2</v>
      </c>
      <c r="L68" s="101">
        <v>2</v>
      </c>
      <c r="M68" s="101">
        <v>1</v>
      </c>
      <c r="N68" s="15">
        <v>3</v>
      </c>
      <c r="O68" s="15">
        <v>1</v>
      </c>
      <c r="P68" s="15">
        <v>4</v>
      </c>
      <c r="Q68" s="15">
        <v>1</v>
      </c>
      <c r="R68" s="15">
        <v>1</v>
      </c>
      <c r="S68" s="15">
        <v>0</v>
      </c>
      <c r="T68" s="15">
        <v>2</v>
      </c>
      <c r="U68" s="15">
        <v>1</v>
      </c>
      <c r="V68" s="15">
        <v>1</v>
      </c>
      <c r="W68" s="15">
        <v>1</v>
      </c>
      <c r="X68" s="15">
        <v>2</v>
      </c>
      <c r="Y68" s="15">
        <v>1</v>
      </c>
      <c r="Z68" s="34"/>
      <c r="AA68" s="17">
        <f t="shared" si="3"/>
        <v>-1</v>
      </c>
      <c r="AB68" s="17">
        <f t="shared" si="4"/>
        <v>-1</v>
      </c>
      <c r="AC68" s="17">
        <f t="shared" si="5"/>
        <v>-1</v>
      </c>
    </row>
    <row r="69" spans="1:29" outlineLevel="6" x14ac:dyDescent="0.2">
      <c r="A69" s="8" t="s">
        <v>18</v>
      </c>
      <c r="B69" s="31" t="s">
        <v>94</v>
      </c>
      <c r="C69" s="32" t="s">
        <v>94</v>
      </c>
      <c r="D69" s="20" t="s">
        <v>103</v>
      </c>
      <c r="E69" s="12">
        <v>324</v>
      </c>
      <c r="F69" s="33" t="s">
        <v>104</v>
      </c>
      <c r="G69" s="101">
        <v>71</v>
      </c>
      <c r="H69" s="101">
        <v>114</v>
      </c>
      <c r="I69" s="101">
        <v>133</v>
      </c>
      <c r="J69" s="101">
        <v>163</v>
      </c>
      <c r="K69" s="101">
        <v>156</v>
      </c>
      <c r="L69" s="101">
        <v>156</v>
      </c>
      <c r="M69" s="101">
        <v>161</v>
      </c>
      <c r="N69" s="15">
        <v>152</v>
      </c>
      <c r="O69" s="15">
        <v>115</v>
      </c>
      <c r="P69" s="15">
        <f>108+13</f>
        <v>121</v>
      </c>
      <c r="Q69" s="15">
        <v>130</v>
      </c>
      <c r="R69" s="15">
        <v>129</v>
      </c>
      <c r="S69" s="15">
        <v>126</v>
      </c>
      <c r="T69" s="15">
        <v>121</v>
      </c>
      <c r="U69" s="15">
        <v>117</v>
      </c>
      <c r="V69" s="15">
        <v>108</v>
      </c>
      <c r="W69" s="15">
        <f>112-4</f>
        <v>108</v>
      </c>
      <c r="X69" s="15">
        <f>89+17</f>
        <v>106</v>
      </c>
      <c r="Y69" s="15">
        <f>77+16</f>
        <v>93</v>
      </c>
      <c r="Z69" s="34">
        <v>89</v>
      </c>
      <c r="AA69" s="17">
        <f t="shared" si="3"/>
        <v>-4.3010752688172046E-2</v>
      </c>
      <c r="AB69" s="17">
        <f t="shared" si="4"/>
        <v>-0.17592592592592593</v>
      </c>
      <c r="AC69" s="17">
        <f t="shared" si="5"/>
        <v>-0.26446280991735538</v>
      </c>
    </row>
    <row r="70" spans="1:29" outlineLevel="5" x14ac:dyDescent="0.2">
      <c r="A70" s="8"/>
      <c r="B70" s="31"/>
      <c r="C70" s="40" t="s">
        <v>105</v>
      </c>
      <c r="D70" s="20"/>
      <c r="E70" s="12"/>
      <c r="F70" s="33"/>
      <c r="G70" s="101">
        <f t="shared" ref="G70:M70" si="45">SUBTOTAL(9,G67:G69)</f>
        <v>278</v>
      </c>
      <c r="H70" s="101">
        <f t="shared" si="45"/>
        <v>309</v>
      </c>
      <c r="I70" s="101">
        <f t="shared" si="45"/>
        <v>360</v>
      </c>
      <c r="J70" s="101">
        <f t="shared" si="45"/>
        <v>384</v>
      </c>
      <c r="K70" s="101">
        <f t="shared" si="45"/>
        <v>401</v>
      </c>
      <c r="L70" s="101">
        <f t="shared" si="45"/>
        <v>413</v>
      </c>
      <c r="M70" s="101">
        <f t="shared" si="45"/>
        <v>427</v>
      </c>
      <c r="N70" s="15">
        <f t="shared" ref="N70:X70" si="46">SUBTOTAL(9,N67:N69)</f>
        <v>409</v>
      </c>
      <c r="O70" s="15">
        <f t="shared" si="46"/>
        <v>391</v>
      </c>
      <c r="P70" s="15">
        <f t="shared" si="46"/>
        <v>384</v>
      </c>
      <c r="Q70" s="15">
        <f t="shared" si="46"/>
        <v>364</v>
      </c>
      <c r="R70" s="15">
        <f t="shared" si="46"/>
        <v>380</v>
      </c>
      <c r="S70" s="15">
        <f t="shared" si="46"/>
        <v>403</v>
      </c>
      <c r="T70" s="15">
        <f t="shared" si="46"/>
        <v>366</v>
      </c>
      <c r="U70" s="15">
        <f t="shared" si="46"/>
        <v>343</v>
      </c>
      <c r="V70" s="15">
        <f t="shared" si="46"/>
        <v>316</v>
      </c>
      <c r="W70" s="15">
        <f t="shared" si="46"/>
        <v>288</v>
      </c>
      <c r="X70" s="15">
        <f t="shared" si="46"/>
        <v>257</v>
      </c>
      <c r="Y70" s="15">
        <f>SUBTOTAL(9,Y67:Y69)</f>
        <v>240</v>
      </c>
      <c r="Z70" s="34">
        <f>SUBTOTAL(9,Z67:Z69)</f>
        <v>227</v>
      </c>
      <c r="AA70" s="17">
        <f t="shared" ref="AA70:AA135" si="47">IF(Y70&gt;0, (Z70-Y70)/Y70, "")</f>
        <v>-5.4166666666666669E-2</v>
      </c>
      <c r="AB70" s="17">
        <f t="shared" ref="AB70:AB135" si="48">IF(V70&gt;0, (Z70-V70)/V70, "")</f>
        <v>-0.28164556962025317</v>
      </c>
      <c r="AC70" s="17">
        <f t="shared" ref="AC70:AC135" si="49">IF(P70&gt;0, (Z70-P70)/P70, "")</f>
        <v>-0.40885416666666669</v>
      </c>
    </row>
    <row r="71" spans="1:29" s="44" customFormat="1" outlineLevel="4" x14ac:dyDescent="0.2">
      <c r="A71" s="22"/>
      <c r="B71" s="39" t="s">
        <v>105</v>
      </c>
      <c r="C71" s="40"/>
      <c r="D71" s="24"/>
      <c r="E71" s="25"/>
      <c r="F71" s="41"/>
      <c r="G71" s="102">
        <f t="shared" ref="G71:M71" si="50">SUBTOTAL(9,G62:G69)</f>
        <v>278</v>
      </c>
      <c r="H71" s="102">
        <f t="shared" si="50"/>
        <v>309</v>
      </c>
      <c r="I71" s="102">
        <f t="shared" si="50"/>
        <v>360</v>
      </c>
      <c r="J71" s="102">
        <f t="shared" si="50"/>
        <v>384</v>
      </c>
      <c r="K71" s="102">
        <f t="shared" si="50"/>
        <v>401</v>
      </c>
      <c r="L71" s="102">
        <f t="shared" si="50"/>
        <v>413</v>
      </c>
      <c r="M71" s="102">
        <f t="shared" si="50"/>
        <v>427</v>
      </c>
      <c r="N71" s="28">
        <f t="shared" ref="N71:X71" si="51">SUBTOTAL(9,N62:N69)</f>
        <v>409</v>
      </c>
      <c r="O71" s="28">
        <f t="shared" si="51"/>
        <v>391</v>
      </c>
      <c r="P71" s="28">
        <f t="shared" si="51"/>
        <v>384</v>
      </c>
      <c r="Q71" s="28">
        <f t="shared" si="51"/>
        <v>379</v>
      </c>
      <c r="R71" s="28">
        <f t="shared" si="51"/>
        <v>439</v>
      </c>
      <c r="S71" s="28">
        <f t="shared" si="51"/>
        <v>460</v>
      </c>
      <c r="T71" s="28">
        <f t="shared" si="51"/>
        <v>461</v>
      </c>
      <c r="U71" s="28">
        <f t="shared" si="51"/>
        <v>444</v>
      </c>
      <c r="V71" s="28">
        <f t="shared" si="51"/>
        <v>455</v>
      </c>
      <c r="W71" s="28">
        <f t="shared" si="51"/>
        <v>461</v>
      </c>
      <c r="X71" s="28">
        <f t="shared" si="51"/>
        <v>429</v>
      </c>
      <c r="Y71" s="28">
        <f t="shared" ref="Y71:Z71" si="52">SUBTOTAL(9,Y62:Y69)</f>
        <v>426</v>
      </c>
      <c r="Z71" s="43">
        <f t="shared" si="52"/>
        <v>408</v>
      </c>
      <c r="AA71" s="17">
        <f t="shared" si="47"/>
        <v>-4.2253521126760563E-2</v>
      </c>
      <c r="AB71" s="17">
        <f t="shared" si="48"/>
        <v>-0.10329670329670329</v>
      </c>
      <c r="AC71" s="17">
        <f t="shared" si="49"/>
        <v>6.25E-2</v>
      </c>
    </row>
    <row r="72" spans="1:29" outlineLevel="6" x14ac:dyDescent="0.2">
      <c r="A72" s="8" t="s">
        <v>18</v>
      </c>
      <c r="B72" s="31" t="s">
        <v>106</v>
      </c>
      <c r="C72" s="32" t="s">
        <v>106</v>
      </c>
      <c r="D72" s="20" t="s">
        <v>107</v>
      </c>
      <c r="E72" s="12">
        <v>614</v>
      </c>
      <c r="F72" s="33">
        <v>1505</v>
      </c>
      <c r="G72" s="101">
        <v>127</v>
      </c>
      <c r="H72" s="101">
        <v>97</v>
      </c>
      <c r="I72" s="101">
        <v>106</v>
      </c>
      <c r="J72" s="101">
        <v>132</v>
      </c>
      <c r="K72" s="101">
        <v>153</v>
      </c>
      <c r="L72" s="101">
        <v>139</v>
      </c>
      <c r="M72" s="101">
        <v>133</v>
      </c>
      <c r="N72" s="15">
        <v>143</v>
      </c>
      <c r="O72" s="15">
        <v>169</v>
      </c>
      <c r="P72" s="15">
        <v>152</v>
      </c>
      <c r="Q72" s="15">
        <v>144</v>
      </c>
      <c r="R72" s="15">
        <v>154</v>
      </c>
      <c r="S72" s="15">
        <v>163</v>
      </c>
      <c r="T72" s="15">
        <v>168</v>
      </c>
      <c r="U72" s="15">
        <v>151</v>
      </c>
      <c r="V72" s="15">
        <f>125-3</f>
        <v>122</v>
      </c>
      <c r="W72" s="15">
        <f>107-1</f>
        <v>106</v>
      </c>
      <c r="X72" s="15">
        <v>97</v>
      </c>
      <c r="Y72" s="15">
        <v>95</v>
      </c>
      <c r="Z72" s="34">
        <v>92</v>
      </c>
      <c r="AA72" s="17">
        <f t="shared" si="47"/>
        <v>-3.1578947368421054E-2</v>
      </c>
      <c r="AB72" s="17">
        <f t="shared" si="48"/>
        <v>-0.24590163934426229</v>
      </c>
      <c r="AC72" s="17">
        <f t="shared" si="49"/>
        <v>-0.39473684210526316</v>
      </c>
    </row>
    <row r="73" spans="1:29" outlineLevel="6" x14ac:dyDescent="0.2">
      <c r="A73" s="8" t="s">
        <v>18</v>
      </c>
      <c r="B73" s="31" t="s">
        <v>106</v>
      </c>
      <c r="C73" s="32" t="s">
        <v>106</v>
      </c>
      <c r="D73" s="20" t="s">
        <v>108</v>
      </c>
      <c r="E73" s="12">
        <v>325</v>
      </c>
      <c r="F73" s="33" t="s">
        <v>109</v>
      </c>
      <c r="G73" s="101">
        <v>73</v>
      </c>
      <c r="H73" s="101">
        <v>124</v>
      </c>
      <c r="I73" s="101">
        <v>172</v>
      </c>
      <c r="J73" s="101">
        <v>165</v>
      </c>
      <c r="K73" s="101">
        <v>157</v>
      </c>
      <c r="L73" s="101">
        <v>172</v>
      </c>
      <c r="M73" s="101">
        <v>161</v>
      </c>
      <c r="N73" s="15">
        <v>163</v>
      </c>
      <c r="O73" s="15">
        <v>145</v>
      </c>
      <c r="P73" s="15">
        <v>135</v>
      </c>
      <c r="Q73" s="15">
        <v>153</v>
      </c>
      <c r="R73" s="15">
        <v>169</v>
      </c>
      <c r="S73" s="15">
        <v>160</v>
      </c>
      <c r="T73" s="15">
        <v>145</v>
      </c>
      <c r="U73" s="15">
        <v>136</v>
      </c>
      <c r="V73" s="15">
        <v>134</v>
      </c>
      <c r="W73" s="15">
        <f>118-2</f>
        <v>116</v>
      </c>
      <c r="X73" s="15">
        <f>108+14</f>
        <v>122</v>
      </c>
      <c r="Y73" s="15">
        <f>87+15</f>
        <v>102</v>
      </c>
      <c r="Z73" s="34">
        <v>98</v>
      </c>
      <c r="AA73" s="17">
        <f t="shared" si="47"/>
        <v>-3.9215686274509803E-2</v>
      </c>
      <c r="AB73" s="17">
        <f t="shared" si="48"/>
        <v>-0.26865671641791045</v>
      </c>
      <c r="AC73" s="17">
        <f t="shared" si="49"/>
        <v>-0.27407407407407408</v>
      </c>
    </row>
    <row r="74" spans="1:29" s="44" customFormat="1" outlineLevel="4" x14ac:dyDescent="0.2">
      <c r="A74" s="22"/>
      <c r="B74" s="39" t="s">
        <v>110</v>
      </c>
      <c r="C74" s="40"/>
      <c r="D74" s="24"/>
      <c r="E74" s="25"/>
      <c r="F74" s="41"/>
      <c r="G74" s="102">
        <f t="shared" ref="G74:M74" si="53">SUBTOTAL(9,G72:G73)</f>
        <v>200</v>
      </c>
      <c r="H74" s="102">
        <f t="shared" si="53"/>
        <v>221</v>
      </c>
      <c r="I74" s="102">
        <f t="shared" si="53"/>
        <v>278</v>
      </c>
      <c r="J74" s="102">
        <f t="shared" si="53"/>
        <v>297</v>
      </c>
      <c r="K74" s="102">
        <f t="shared" si="53"/>
        <v>310</v>
      </c>
      <c r="L74" s="102">
        <f t="shared" si="53"/>
        <v>311</v>
      </c>
      <c r="M74" s="102">
        <f t="shared" si="53"/>
        <v>294</v>
      </c>
      <c r="N74" s="28">
        <f t="shared" ref="N74:X74" si="54">SUBTOTAL(9,N72:N73)</f>
        <v>306</v>
      </c>
      <c r="O74" s="28">
        <f t="shared" si="54"/>
        <v>314</v>
      </c>
      <c r="P74" s="28">
        <f t="shared" si="54"/>
        <v>287</v>
      </c>
      <c r="Q74" s="28">
        <f t="shared" si="54"/>
        <v>297</v>
      </c>
      <c r="R74" s="28">
        <f t="shared" si="54"/>
        <v>323</v>
      </c>
      <c r="S74" s="28">
        <f t="shared" si="54"/>
        <v>323</v>
      </c>
      <c r="T74" s="28">
        <f t="shared" si="54"/>
        <v>313</v>
      </c>
      <c r="U74" s="28">
        <f t="shared" si="54"/>
        <v>287</v>
      </c>
      <c r="V74" s="28">
        <f t="shared" si="54"/>
        <v>256</v>
      </c>
      <c r="W74" s="28">
        <f t="shared" si="54"/>
        <v>222</v>
      </c>
      <c r="X74" s="28">
        <f t="shared" si="54"/>
        <v>219</v>
      </c>
      <c r="Y74" s="28">
        <f>SUBTOTAL(9,Y72:Y73)</f>
        <v>197</v>
      </c>
      <c r="Z74" s="43">
        <f t="shared" ref="Z74" si="55">SUBTOTAL(9,Z72:Z73)</f>
        <v>190</v>
      </c>
      <c r="AA74" s="17">
        <f t="shared" si="47"/>
        <v>-3.553299492385787E-2</v>
      </c>
      <c r="AB74" s="17">
        <f t="shared" si="48"/>
        <v>-0.2578125</v>
      </c>
      <c r="AC74" s="17">
        <f t="shared" si="49"/>
        <v>-0.33797909407665505</v>
      </c>
    </row>
    <row r="75" spans="1:29" outlineLevel="6" x14ac:dyDescent="0.2">
      <c r="A75" s="8" t="s">
        <v>18</v>
      </c>
      <c r="B75" s="31" t="s">
        <v>111</v>
      </c>
      <c r="C75" s="32" t="s">
        <v>111</v>
      </c>
      <c r="D75" s="20" t="s">
        <v>112</v>
      </c>
      <c r="E75" s="12"/>
      <c r="F75" s="33">
        <v>1600</v>
      </c>
      <c r="G75" s="101">
        <v>1</v>
      </c>
      <c r="H75" s="101">
        <v>2</v>
      </c>
      <c r="I75" s="101">
        <v>3</v>
      </c>
      <c r="J75" s="101"/>
      <c r="K75" s="101">
        <v>1</v>
      </c>
      <c r="L75" s="101">
        <v>4</v>
      </c>
      <c r="M75" s="101">
        <v>3</v>
      </c>
      <c r="N75" s="15">
        <v>1</v>
      </c>
      <c r="O75" s="15">
        <v>2</v>
      </c>
      <c r="P75" s="15">
        <v>1</v>
      </c>
      <c r="Q75" s="15">
        <v>1</v>
      </c>
      <c r="R75" s="15">
        <v>0</v>
      </c>
      <c r="S75" s="15">
        <v>3</v>
      </c>
      <c r="T75" s="15">
        <v>1</v>
      </c>
      <c r="U75" s="15">
        <v>4</v>
      </c>
      <c r="V75" s="15">
        <v>4</v>
      </c>
      <c r="W75" s="15">
        <v>2</v>
      </c>
      <c r="X75" s="15">
        <v>1</v>
      </c>
      <c r="Y75" s="15"/>
      <c r="Z75" s="34"/>
      <c r="AA75" s="17" t="str">
        <f t="shared" si="47"/>
        <v/>
      </c>
      <c r="AB75" s="17">
        <f t="shared" si="48"/>
        <v>-1</v>
      </c>
      <c r="AC75" s="17">
        <f t="shared" si="49"/>
        <v>-1</v>
      </c>
    </row>
    <row r="76" spans="1:29" outlineLevel="6" x14ac:dyDescent="0.2">
      <c r="A76" s="8" t="s">
        <v>18</v>
      </c>
      <c r="B76" s="31" t="s">
        <v>111</v>
      </c>
      <c r="C76" s="32" t="s">
        <v>111</v>
      </c>
      <c r="D76" s="20" t="s">
        <v>113</v>
      </c>
      <c r="E76" s="12">
        <v>608</v>
      </c>
      <c r="F76" s="33">
        <v>1605</v>
      </c>
      <c r="G76" s="101"/>
      <c r="H76" s="101"/>
      <c r="I76" s="101"/>
      <c r="J76" s="101"/>
      <c r="K76" s="101"/>
      <c r="L76" s="101">
        <v>1</v>
      </c>
      <c r="M76" s="101"/>
      <c r="N76" s="15">
        <v>0</v>
      </c>
      <c r="O76" s="15">
        <v>1</v>
      </c>
      <c r="P76" s="15">
        <v>0</v>
      </c>
      <c r="Q76" s="15">
        <v>2</v>
      </c>
      <c r="R76" s="15">
        <v>2</v>
      </c>
      <c r="S76" s="15">
        <v>0</v>
      </c>
      <c r="T76" s="15">
        <v>0</v>
      </c>
      <c r="U76" s="15">
        <v>0</v>
      </c>
      <c r="V76" s="15"/>
      <c r="W76" s="15"/>
      <c r="X76" s="15"/>
      <c r="Y76" s="15"/>
      <c r="Z76" s="34"/>
      <c r="AA76" s="17" t="str">
        <f t="shared" si="47"/>
        <v/>
      </c>
      <c r="AB76" s="17" t="str">
        <f t="shared" si="48"/>
        <v/>
      </c>
      <c r="AC76" s="17" t="str">
        <f t="shared" si="49"/>
        <v/>
      </c>
    </row>
    <row r="77" spans="1:29" outlineLevel="6" x14ac:dyDescent="0.2">
      <c r="A77" s="8" t="s">
        <v>18</v>
      </c>
      <c r="B77" s="31" t="s">
        <v>111</v>
      </c>
      <c r="C77" s="32" t="s">
        <v>111</v>
      </c>
      <c r="D77" s="20" t="s">
        <v>448</v>
      </c>
      <c r="E77" s="12"/>
      <c r="F77" s="33">
        <v>1609</v>
      </c>
      <c r="G77" s="101"/>
      <c r="H77" s="101"/>
      <c r="I77" s="101"/>
      <c r="J77" s="101"/>
      <c r="K77" s="101"/>
      <c r="L77" s="101"/>
      <c r="M77" s="101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>
        <v>4</v>
      </c>
      <c r="Y77" s="15">
        <v>5</v>
      </c>
      <c r="Z77" s="34">
        <v>5</v>
      </c>
      <c r="AA77" s="17">
        <f t="shared" si="47"/>
        <v>0</v>
      </c>
      <c r="AB77" s="17" t="str">
        <f t="shared" si="48"/>
        <v/>
      </c>
      <c r="AC77" s="17" t="str">
        <f t="shared" si="49"/>
        <v/>
      </c>
    </row>
    <row r="78" spans="1:29" outlineLevel="6" x14ac:dyDescent="0.2">
      <c r="A78" s="8" t="s">
        <v>18</v>
      </c>
      <c r="B78" s="31" t="s">
        <v>111</v>
      </c>
      <c r="C78" s="32" t="s">
        <v>111</v>
      </c>
      <c r="D78" s="20" t="s">
        <v>114</v>
      </c>
      <c r="E78" s="12">
        <v>601</v>
      </c>
      <c r="F78" s="33">
        <v>1610</v>
      </c>
      <c r="G78" s="101">
        <v>5</v>
      </c>
      <c r="H78" s="101"/>
      <c r="I78" s="101"/>
      <c r="J78" s="101"/>
      <c r="K78" s="101">
        <v>2</v>
      </c>
      <c r="L78" s="101">
        <v>5</v>
      </c>
      <c r="M78" s="101">
        <v>1</v>
      </c>
      <c r="N78" s="15">
        <v>4</v>
      </c>
      <c r="O78" s="15">
        <v>3</v>
      </c>
      <c r="P78" s="15">
        <v>3</v>
      </c>
      <c r="Q78" s="15">
        <v>4</v>
      </c>
      <c r="R78" s="15">
        <v>5</v>
      </c>
      <c r="S78" s="15">
        <v>4</v>
      </c>
      <c r="T78" s="15">
        <v>2</v>
      </c>
      <c r="U78" s="15">
        <v>1</v>
      </c>
      <c r="V78" s="15">
        <v>5</v>
      </c>
      <c r="W78" s="15">
        <v>3</v>
      </c>
      <c r="X78" s="15">
        <v>2</v>
      </c>
      <c r="Y78" s="15">
        <v>1</v>
      </c>
      <c r="Z78" s="34"/>
      <c r="AA78" s="17">
        <f t="shared" si="47"/>
        <v>-1</v>
      </c>
      <c r="AB78" s="17">
        <f t="shared" si="48"/>
        <v>-1</v>
      </c>
      <c r="AC78" s="17">
        <f t="shared" si="49"/>
        <v>-1</v>
      </c>
    </row>
    <row r="79" spans="1:29" outlineLevel="6" x14ac:dyDescent="0.2">
      <c r="A79" s="8" t="s">
        <v>18</v>
      </c>
      <c r="B79" s="31" t="s">
        <v>111</v>
      </c>
      <c r="C79" s="32" t="s">
        <v>111</v>
      </c>
      <c r="D79" s="20" t="s">
        <v>115</v>
      </c>
      <c r="E79" s="12">
        <v>602</v>
      </c>
      <c r="F79" s="46" t="s">
        <v>116</v>
      </c>
      <c r="G79" s="101">
        <v>9</v>
      </c>
      <c r="H79" s="101">
        <v>7</v>
      </c>
      <c r="I79" s="101">
        <v>15</v>
      </c>
      <c r="J79" s="101">
        <v>14</v>
      </c>
      <c r="K79" s="101">
        <v>17</v>
      </c>
      <c r="L79" s="101">
        <v>25</v>
      </c>
      <c r="M79" s="101">
        <v>33</v>
      </c>
      <c r="N79" s="15">
        <v>44</v>
      </c>
      <c r="O79" s="15">
        <v>40</v>
      </c>
      <c r="P79" s="15">
        <v>33</v>
      </c>
      <c r="Q79" s="15">
        <v>22</v>
      </c>
      <c r="R79" s="15">
        <v>12</v>
      </c>
      <c r="S79" s="15">
        <v>9</v>
      </c>
      <c r="T79" s="15">
        <v>10</v>
      </c>
      <c r="U79" s="15">
        <v>8</v>
      </c>
      <c r="V79" s="15">
        <v>6</v>
      </c>
      <c r="W79" s="15">
        <v>8</v>
      </c>
      <c r="X79" s="15">
        <v>7</v>
      </c>
      <c r="Y79" s="15">
        <f>3+1</f>
        <v>4</v>
      </c>
      <c r="Z79" s="34">
        <v>4</v>
      </c>
      <c r="AA79" s="17">
        <f t="shared" si="47"/>
        <v>0</v>
      </c>
      <c r="AB79" s="17">
        <f t="shared" si="48"/>
        <v>-0.33333333333333331</v>
      </c>
      <c r="AC79" s="17">
        <f t="shared" si="49"/>
        <v>-0.87878787878787878</v>
      </c>
    </row>
    <row r="80" spans="1:29" outlineLevel="6" x14ac:dyDescent="0.2">
      <c r="A80" s="8" t="s">
        <v>18</v>
      </c>
      <c r="B80" s="31" t="s">
        <v>111</v>
      </c>
      <c r="C80" s="32" t="s">
        <v>111</v>
      </c>
      <c r="D80" s="20" t="s">
        <v>117</v>
      </c>
      <c r="E80" s="12">
        <v>604</v>
      </c>
      <c r="F80" s="33">
        <v>1620</v>
      </c>
      <c r="G80" s="101"/>
      <c r="H80" s="101"/>
      <c r="I80" s="101"/>
      <c r="J80" s="101">
        <v>1</v>
      </c>
      <c r="K80" s="101"/>
      <c r="L80" s="101"/>
      <c r="M80" s="101"/>
      <c r="N80" s="15">
        <v>0</v>
      </c>
      <c r="O80" s="15">
        <v>2</v>
      </c>
      <c r="P80" s="15">
        <v>1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/>
      <c r="W80" s="15"/>
      <c r="X80" s="15"/>
      <c r="Y80" s="15"/>
      <c r="Z80" s="34"/>
      <c r="AA80" s="17" t="str">
        <f t="shared" si="47"/>
        <v/>
      </c>
      <c r="AB80" s="17" t="str">
        <f t="shared" si="48"/>
        <v/>
      </c>
      <c r="AC80" s="17">
        <f t="shared" si="49"/>
        <v>-1</v>
      </c>
    </row>
    <row r="81" spans="1:29" outlineLevel="6" x14ac:dyDescent="0.2">
      <c r="A81" s="8" t="s">
        <v>18</v>
      </c>
      <c r="B81" s="31" t="s">
        <v>111</v>
      </c>
      <c r="C81" s="32" t="s">
        <v>111</v>
      </c>
      <c r="D81" s="20" t="s">
        <v>118</v>
      </c>
      <c r="E81" s="12">
        <v>605</v>
      </c>
      <c r="F81" s="33">
        <v>1625</v>
      </c>
      <c r="G81" s="101">
        <v>3</v>
      </c>
      <c r="H81" s="101">
        <v>1</v>
      </c>
      <c r="I81" s="101">
        <v>1</v>
      </c>
      <c r="J81" s="101">
        <v>3</v>
      </c>
      <c r="K81" s="101"/>
      <c r="L81" s="101"/>
      <c r="M81" s="101">
        <v>2</v>
      </c>
      <c r="N81" s="15">
        <v>4</v>
      </c>
      <c r="O81" s="15">
        <v>4</v>
      </c>
      <c r="P81" s="15">
        <v>1</v>
      </c>
      <c r="Q81" s="15">
        <v>2</v>
      </c>
      <c r="R81" s="15">
        <v>1</v>
      </c>
      <c r="S81" s="15">
        <v>1</v>
      </c>
      <c r="T81" s="15">
        <v>0</v>
      </c>
      <c r="U81" s="15">
        <v>1</v>
      </c>
      <c r="V81" s="15">
        <v>2</v>
      </c>
      <c r="W81" s="15">
        <v>1</v>
      </c>
      <c r="X81" s="15">
        <v>2</v>
      </c>
      <c r="Y81" s="15">
        <v>1</v>
      </c>
      <c r="Z81" s="34">
        <v>4</v>
      </c>
      <c r="AA81" s="17">
        <f t="shared" si="47"/>
        <v>3</v>
      </c>
      <c r="AB81" s="17">
        <f t="shared" si="48"/>
        <v>1</v>
      </c>
      <c r="AC81" s="17">
        <f t="shared" si="49"/>
        <v>3</v>
      </c>
    </row>
    <row r="82" spans="1:29" s="47" customFormat="1" outlineLevel="6" x14ac:dyDescent="0.2">
      <c r="A82" s="8" t="s">
        <v>18</v>
      </c>
      <c r="B82" s="31" t="s">
        <v>111</v>
      </c>
      <c r="C82" s="32" t="s">
        <v>111</v>
      </c>
      <c r="D82" s="20" t="s">
        <v>119</v>
      </c>
      <c r="E82" s="12">
        <v>606</v>
      </c>
      <c r="F82" s="33">
        <v>1630</v>
      </c>
      <c r="G82" s="101">
        <v>2</v>
      </c>
      <c r="H82" s="101"/>
      <c r="I82" s="101"/>
      <c r="J82" s="101"/>
      <c r="K82" s="101"/>
      <c r="L82" s="101"/>
      <c r="M82" s="101"/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/>
      <c r="W82" s="15"/>
      <c r="X82" s="15"/>
      <c r="Y82" s="15"/>
      <c r="Z82" s="34"/>
      <c r="AA82" s="17" t="str">
        <f t="shared" si="47"/>
        <v/>
      </c>
      <c r="AB82" s="17" t="str">
        <f t="shared" si="48"/>
        <v/>
      </c>
      <c r="AC82" s="17" t="str">
        <f t="shared" si="49"/>
        <v/>
      </c>
    </row>
    <row r="83" spans="1:29" s="48" customFormat="1" outlineLevel="4" x14ac:dyDescent="0.2">
      <c r="A83" s="22"/>
      <c r="B83" s="39" t="s">
        <v>120</v>
      </c>
      <c r="C83" s="40"/>
      <c r="D83" s="24"/>
      <c r="E83" s="25"/>
      <c r="F83" s="41"/>
      <c r="G83" s="102">
        <f t="shared" ref="G83:M83" si="56">SUBTOTAL(9,G75:G82)</f>
        <v>20</v>
      </c>
      <c r="H83" s="102">
        <f t="shared" si="56"/>
        <v>10</v>
      </c>
      <c r="I83" s="102">
        <f t="shared" si="56"/>
        <v>19</v>
      </c>
      <c r="J83" s="102">
        <f t="shared" si="56"/>
        <v>18</v>
      </c>
      <c r="K83" s="102">
        <f t="shared" si="56"/>
        <v>20</v>
      </c>
      <c r="L83" s="102">
        <f t="shared" si="56"/>
        <v>35</v>
      </c>
      <c r="M83" s="102">
        <f t="shared" si="56"/>
        <v>39</v>
      </c>
      <c r="N83" s="28">
        <f t="shared" ref="N83:W83" si="57">SUBTOTAL(9,N75:N82)</f>
        <v>53</v>
      </c>
      <c r="O83" s="28">
        <f t="shared" si="57"/>
        <v>52</v>
      </c>
      <c r="P83" s="28">
        <f t="shared" si="57"/>
        <v>39</v>
      </c>
      <c r="Q83" s="28">
        <f t="shared" si="57"/>
        <v>31</v>
      </c>
      <c r="R83" s="28">
        <f t="shared" si="57"/>
        <v>20</v>
      </c>
      <c r="S83" s="28">
        <f t="shared" si="57"/>
        <v>17</v>
      </c>
      <c r="T83" s="28">
        <f t="shared" si="57"/>
        <v>13</v>
      </c>
      <c r="U83" s="28">
        <f t="shared" si="57"/>
        <v>14</v>
      </c>
      <c r="V83" s="28">
        <f t="shared" si="57"/>
        <v>17</v>
      </c>
      <c r="W83" s="28">
        <f t="shared" si="57"/>
        <v>14</v>
      </c>
      <c r="X83" s="28">
        <f>SUBTOTAL(9,X75:X82)</f>
        <v>16</v>
      </c>
      <c r="Y83" s="28">
        <f>SUBTOTAL(9,Y75:Y82)</f>
        <v>11</v>
      </c>
      <c r="Z83" s="43">
        <f>SUBTOTAL(9,Z75:Z82)</f>
        <v>13</v>
      </c>
      <c r="AA83" s="17">
        <f t="shared" si="47"/>
        <v>0.18181818181818182</v>
      </c>
      <c r="AB83" s="17">
        <f t="shared" si="48"/>
        <v>-0.23529411764705882</v>
      </c>
      <c r="AC83" s="17">
        <f t="shared" si="49"/>
        <v>-0.66666666666666663</v>
      </c>
    </row>
    <row r="84" spans="1:29" s="49" customFormat="1" outlineLevel="6" x14ac:dyDescent="0.2">
      <c r="A84" s="8" t="s">
        <v>18</v>
      </c>
      <c r="B84" s="31" t="s">
        <v>121</v>
      </c>
      <c r="C84" s="32" t="s">
        <v>121</v>
      </c>
      <c r="D84" s="20" t="s">
        <v>122</v>
      </c>
      <c r="E84" s="12"/>
      <c r="F84" s="33">
        <v>1700</v>
      </c>
      <c r="G84" s="101"/>
      <c r="H84" s="101"/>
      <c r="I84" s="101"/>
      <c r="J84" s="101"/>
      <c r="K84" s="101"/>
      <c r="L84" s="101"/>
      <c r="M84" s="101"/>
      <c r="N84" s="15"/>
      <c r="O84" s="15"/>
      <c r="P84" s="15"/>
      <c r="Q84" s="15"/>
      <c r="R84" s="15"/>
      <c r="S84" s="15">
        <v>15</v>
      </c>
      <c r="T84" s="15">
        <v>20</v>
      </c>
      <c r="U84" s="15">
        <v>24</v>
      </c>
      <c r="V84" s="15">
        <f>23-1</f>
        <v>22</v>
      </c>
      <c r="W84" s="15">
        <f>19-2</f>
        <v>17</v>
      </c>
      <c r="X84" s="15">
        <v>20</v>
      </c>
      <c r="Y84" s="15">
        <v>17</v>
      </c>
      <c r="Z84" s="34">
        <v>16</v>
      </c>
      <c r="AA84" s="17">
        <f t="shared" si="47"/>
        <v>-5.8823529411764705E-2</v>
      </c>
      <c r="AB84" s="17">
        <f t="shared" si="48"/>
        <v>-0.27272727272727271</v>
      </c>
      <c r="AC84" s="17" t="str">
        <f t="shared" si="49"/>
        <v/>
      </c>
    </row>
    <row r="85" spans="1:29" s="50" customFormat="1" outlineLevel="4" x14ac:dyDescent="0.2">
      <c r="A85" s="22"/>
      <c r="B85" s="39" t="s">
        <v>123</v>
      </c>
      <c r="C85" s="40"/>
      <c r="D85" s="24"/>
      <c r="E85" s="25"/>
      <c r="F85" s="41"/>
      <c r="G85" s="102">
        <f t="shared" ref="G85:M85" si="58">SUBTOTAL(9,G84:G84)</f>
        <v>0</v>
      </c>
      <c r="H85" s="102">
        <f t="shared" si="58"/>
        <v>0</v>
      </c>
      <c r="I85" s="102">
        <f t="shared" si="58"/>
        <v>0</v>
      </c>
      <c r="J85" s="102">
        <f t="shared" si="58"/>
        <v>0</v>
      </c>
      <c r="K85" s="102">
        <f t="shared" si="58"/>
        <v>0</v>
      </c>
      <c r="L85" s="102">
        <f t="shared" si="58"/>
        <v>0</v>
      </c>
      <c r="M85" s="102">
        <f t="shared" si="58"/>
        <v>0</v>
      </c>
      <c r="N85" s="28">
        <f t="shared" ref="N85:X85" si="59">SUBTOTAL(9,N84:N84)</f>
        <v>0</v>
      </c>
      <c r="O85" s="28">
        <f t="shared" si="59"/>
        <v>0</v>
      </c>
      <c r="P85" s="28">
        <f t="shared" si="59"/>
        <v>0</v>
      </c>
      <c r="Q85" s="28">
        <f t="shared" si="59"/>
        <v>0</v>
      </c>
      <c r="R85" s="28">
        <f t="shared" si="59"/>
        <v>0</v>
      </c>
      <c r="S85" s="28">
        <f t="shared" si="59"/>
        <v>15</v>
      </c>
      <c r="T85" s="28">
        <f t="shared" si="59"/>
        <v>20</v>
      </c>
      <c r="U85" s="28">
        <f t="shared" si="59"/>
        <v>24</v>
      </c>
      <c r="V85" s="28">
        <f t="shared" si="59"/>
        <v>22</v>
      </c>
      <c r="W85" s="28">
        <f t="shared" si="59"/>
        <v>17</v>
      </c>
      <c r="X85" s="28">
        <f t="shared" si="59"/>
        <v>20</v>
      </c>
      <c r="Y85" s="28">
        <f t="shared" ref="Y85:Z85" si="60">SUBTOTAL(9,Y84:Y84)</f>
        <v>17</v>
      </c>
      <c r="Z85" s="43">
        <f t="shared" si="60"/>
        <v>16</v>
      </c>
      <c r="AA85" s="17">
        <f t="shared" si="47"/>
        <v>-5.8823529411764705E-2</v>
      </c>
      <c r="AB85" s="17">
        <f t="shared" si="48"/>
        <v>-0.27272727272727271</v>
      </c>
      <c r="AC85" s="17" t="str">
        <f t="shared" si="49"/>
        <v/>
      </c>
    </row>
    <row r="86" spans="1:29" s="49" customFormat="1" outlineLevel="6" x14ac:dyDescent="0.2">
      <c r="A86" s="8" t="s">
        <v>18</v>
      </c>
      <c r="B86" s="31" t="s">
        <v>124</v>
      </c>
      <c r="C86" s="32" t="s">
        <v>124</v>
      </c>
      <c r="D86" s="20" t="s">
        <v>125</v>
      </c>
      <c r="E86" s="12">
        <v>618</v>
      </c>
      <c r="F86" s="33">
        <v>1705</v>
      </c>
      <c r="G86" s="101">
        <v>6</v>
      </c>
      <c r="H86" s="101">
        <v>12</v>
      </c>
      <c r="I86" s="101">
        <v>13</v>
      </c>
      <c r="J86" s="101">
        <v>14</v>
      </c>
      <c r="K86" s="101">
        <v>21</v>
      </c>
      <c r="L86" s="101">
        <v>23</v>
      </c>
      <c r="M86" s="101">
        <v>31</v>
      </c>
      <c r="N86" s="15">
        <v>27</v>
      </c>
      <c r="O86" s="15">
        <v>31</v>
      </c>
      <c r="P86" s="15">
        <v>29</v>
      </c>
      <c r="Q86" s="15">
        <v>22</v>
      </c>
      <c r="R86" s="15">
        <v>43</v>
      </c>
      <c r="S86" s="15">
        <v>29</v>
      </c>
      <c r="T86" s="15">
        <v>34</v>
      </c>
      <c r="U86" s="15">
        <v>46</v>
      </c>
      <c r="V86" s="15">
        <f>45-1</f>
        <v>44</v>
      </c>
      <c r="W86" s="15">
        <v>43</v>
      </c>
      <c r="X86" s="15">
        <v>49</v>
      </c>
      <c r="Y86" s="15">
        <v>35</v>
      </c>
      <c r="Z86" s="34">
        <v>40</v>
      </c>
      <c r="AA86" s="17">
        <f t="shared" si="47"/>
        <v>0.14285714285714285</v>
      </c>
      <c r="AB86" s="17">
        <f t="shared" si="48"/>
        <v>-9.0909090909090912E-2</v>
      </c>
      <c r="AC86" s="17">
        <f t="shared" si="49"/>
        <v>0.37931034482758619</v>
      </c>
    </row>
    <row r="87" spans="1:29" outlineLevel="6" x14ac:dyDescent="0.2">
      <c r="A87" s="8" t="s">
        <v>18</v>
      </c>
      <c r="B87" s="31" t="s">
        <v>124</v>
      </c>
      <c r="C87" s="32" t="s">
        <v>124</v>
      </c>
      <c r="D87" s="20" t="s">
        <v>126</v>
      </c>
      <c r="E87" s="12"/>
      <c r="F87" s="33">
        <v>1710</v>
      </c>
      <c r="G87" s="101"/>
      <c r="H87" s="101"/>
      <c r="I87" s="101"/>
      <c r="J87" s="101"/>
      <c r="K87" s="101"/>
      <c r="L87" s="101"/>
      <c r="M87" s="101"/>
      <c r="N87" s="15"/>
      <c r="O87" s="15">
        <v>1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/>
      <c r="W87" s="15">
        <v>1</v>
      </c>
      <c r="X87" s="15">
        <v>1</v>
      </c>
      <c r="Y87" s="15">
        <v>2</v>
      </c>
      <c r="Z87" s="34">
        <v>1</v>
      </c>
      <c r="AA87" s="17">
        <f t="shared" si="47"/>
        <v>-0.5</v>
      </c>
      <c r="AB87" s="17" t="str">
        <f t="shared" si="48"/>
        <v/>
      </c>
      <c r="AC87" s="17">
        <f t="shared" si="49"/>
        <v>0</v>
      </c>
    </row>
    <row r="88" spans="1:29" outlineLevel="4" x14ac:dyDescent="0.2">
      <c r="A88" s="8"/>
      <c r="B88" s="39" t="s">
        <v>127</v>
      </c>
      <c r="C88" s="32"/>
      <c r="D88" s="20"/>
      <c r="E88" s="12"/>
      <c r="F88" s="33"/>
      <c r="G88" s="101">
        <f t="shared" ref="G88:M88" si="61">SUBTOTAL(9,G86:G87)</f>
        <v>6</v>
      </c>
      <c r="H88" s="101">
        <f t="shared" si="61"/>
        <v>12</v>
      </c>
      <c r="I88" s="101">
        <f t="shared" si="61"/>
        <v>13</v>
      </c>
      <c r="J88" s="101">
        <f t="shared" si="61"/>
        <v>14</v>
      </c>
      <c r="K88" s="101">
        <f t="shared" si="61"/>
        <v>21</v>
      </c>
      <c r="L88" s="101">
        <f t="shared" si="61"/>
        <v>23</v>
      </c>
      <c r="M88" s="101">
        <f t="shared" si="61"/>
        <v>31</v>
      </c>
      <c r="N88" s="15">
        <f t="shared" ref="N88:X88" si="62">SUBTOTAL(9,N86:N87)</f>
        <v>27</v>
      </c>
      <c r="O88" s="15">
        <f t="shared" si="62"/>
        <v>32</v>
      </c>
      <c r="P88" s="15">
        <f t="shared" si="62"/>
        <v>30</v>
      </c>
      <c r="Q88" s="15">
        <f t="shared" si="62"/>
        <v>23</v>
      </c>
      <c r="R88" s="15">
        <f t="shared" si="62"/>
        <v>43</v>
      </c>
      <c r="S88" s="15">
        <f t="shared" si="62"/>
        <v>29</v>
      </c>
      <c r="T88" s="15">
        <f t="shared" si="62"/>
        <v>34</v>
      </c>
      <c r="U88" s="15">
        <f t="shared" si="62"/>
        <v>46</v>
      </c>
      <c r="V88" s="15">
        <f t="shared" si="62"/>
        <v>44</v>
      </c>
      <c r="W88" s="15">
        <f t="shared" si="62"/>
        <v>44</v>
      </c>
      <c r="X88" s="15">
        <f t="shared" si="62"/>
        <v>50</v>
      </c>
      <c r="Y88" s="15">
        <f t="shared" ref="Y88:Z88" si="63">SUBTOTAL(9,Y86:Y87)</f>
        <v>37</v>
      </c>
      <c r="Z88" s="34">
        <f t="shared" si="63"/>
        <v>41</v>
      </c>
      <c r="AA88" s="17">
        <f t="shared" si="47"/>
        <v>0.10810810810810811</v>
      </c>
      <c r="AB88" s="17">
        <f t="shared" si="48"/>
        <v>-6.8181818181818177E-2</v>
      </c>
      <c r="AC88" s="17">
        <f t="shared" si="49"/>
        <v>0.36666666666666664</v>
      </c>
    </row>
    <row r="89" spans="1:29" outlineLevel="6" x14ac:dyDescent="0.2">
      <c r="A89" s="8" t="s">
        <v>18</v>
      </c>
      <c r="B89" s="31" t="s">
        <v>128</v>
      </c>
      <c r="C89" s="32" t="s">
        <v>129</v>
      </c>
      <c r="D89" s="20" t="s">
        <v>130</v>
      </c>
      <c r="E89" s="12" t="s">
        <v>131</v>
      </c>
      <c r="F89" s="33">
        <v>1805</v>
      </c>
      <c r="G89" s="101">
        <v>41</v>
      </c>
      <c r="H89" s="101">
        <v>33</v>
      </c>
      <c r="I89" s="101">
        <v>34</v>
      </c>
      <c r="J89" s="101">
        <v>37</v>
      </c>
      <c r="K89" s="101">
        <v>40</v>
      </c>
      <c r="L89" s="101">
        <v>45</v>
      </c>
      <c r="M89" s="101">
        <v>50</v>
      </c>
      <c r="N89" s="15">
        <v>62</v>
      </c>
      <c r="O89" s="15">
        <v>48</v>
      </c>
      <c r="P89" s="15">
        <v>53</v>
      </c>
      <c r="Q89" s="15">
        <v>48</v>
      </c>
      <c r="R89" s="15">
        <v>48</v>
      </c>
      <c r="S89" s="15">
        <v>50</v>
      </c>
      <c r="T89" s="15">
        <v>52</v>
      </c>
      <c r="U89" s="15">
        <v>56</v>
      </c>
      <c r="V89" s="15">
        <f>52-2</f>
        <v>50</v>
      </c>
      <c r="W89" s="15">
        <f>53-1</f>
        <v>52</v>
      </c>
      <c r="X89" s="15">
        <v>42</v>
      </c>
      <c r="Y89" s="15">
        <v>33</v>
      </c>
      <c r="Z89" s="34">
        <v>37</v>
      </c>
      <c r="AA89" s="17">
        <f t="shared" si="47"/>
        <v>0.12121212121212122</v>
      </c>
      <c r="AB89" s="17">
        <f t="shared" si="48"/>
        <v>-0.26</v>
      </c>
      <c r="AC89" s="17">
        <f t="shared" si="49"/>
        <v>-0.30188679245283018</v>
      </c>
    </row>
    <row r="90" spans="1:29" outlineLevel="6" x14ac:dyDescent="0.2">
      <c r="A90" s="8" t="s">
        <v>18</v>
      </c>
      <c r="B90" s="31" t="s">
        <v>128</v>
      </c>
      <c r="C90" s="32" t="s">
        <v>129</v>
      </c>
      <c r="D90" s="20" t="s">
        <v>132</v>
      </c>
      <c r="E90" s="12">
        <v>632</v>
      </c>
      <c r="F90" s="33">
        <v>1835</v>
      </c>
      <c r="G90" s="101">
        <v>2</v>
      </c>
      <c r="H90" s="101">
        <v>1</v>
      </c>
      <c r="I90" s="101">
        <v>1</v>
      </c>
      <c r="J90" s="101"/>
      <c r="K90" s="101">
        <v>2</v>
      </c>
      <c r="L90" s="101">
        <v>2</v>
      </c>
      <c r="M90" s="101">
        <v>2</v>
      </c>
      <c r="N90" s="15">
        <v>6</v>
      </c>
      <c r="O90" s="15">
        <v>4</v>
      </c>
      <c r="P90" s="15">
        <v>5</v>
      </c>
      <c r="Q90" s="15">
        <v>6</v>
      </c>
      <c r="R90" s="15">
        <v>9</v>
      </c>
      <c r="S90" s="15">
        <v>6</v>
      </c>
      <c r="T90" s="15">
        <v>3</v>
      </c>
      <c r="U90" s="15">
        <v>5</v>
      </c>
      <c r="V90" s="15">
        <f>2-1</f>
        <v>1</v>
      </c>
      <c r="W90" s="15">
        <v>8</v>
      </c>
      <c r="X90" s="15">
        <v>8</v>
      </c>
      <c r="Y90" s="15">
        <v>8</v>
      </c>
      <c r="Z90" s="34">
        <v>11</v>
      </c>
      <c r="AA90" s="17">
        <f t="shared" si="47"/>
        <v>0.375</v>
      </c>
      <c r="AB90" s="17">
        <f t="shared" si="48"/>
        <v>10</v>
      </c>
      <c r="AC90" s="17">
        <f t="shared" si="49"/>
        <v>1.2</v>
      </c>
    </row>
    <row r="91" spans="1:29" outlineLevel="6" x14ac:dyDescent="0.2">
      <c r="A91" s="8" t="s">
        <v>18</v>
      </c>
      <c r="B91" s="31" t="s">
        <v>128</v>
      </c>
      <c r="C91" s="32" t="s">
        <v>129</v>
      </c>
      <c r="D91" s="20" t="s">
        <v>133</v>
      </c>
      <c r="E91" s="12"/>
      <c r="F91" s="33">
        <v>1905</v>
      </c>
      <c r="G91" s="101"/>
      <c r="H91" s="101"/>
      <c r="I91" s="101"/>
      <c r="J91" s="101"/>
      <c r="K91" s="101"/>
      <c r="L91" s="101"/>
      <c r="M91" s="101"/>
      <c r="N91" s="15"/>
      <c r="O91" s="15"/>
      <c r="P91" s="15"/>
      <c r="Q91" s="15"/>
      <c r="R91" s="15">
        <v>7</v>
      </c>
      <c r="S91" s="15">
        <v>23</v>
      </c>
      <c r="T91" s="15">
        <v>36</v>
      </c>
      <c r="U91" s="15">
        <v>38</v>
      </c>
      <c r="V91" s="15">
        <v>55</v>
      </c>
      <c r="W91" s="15">
        <v>73</v>
      </c>
      <c r="X91" s="15">
        <v>76</v>
      </c>
      <c r="Y91" s="15">
        <v>74</v>
      </c>
      <c r="Z91" s="34">
        <v>54</v>
      </c>
      <c r="AA91" s="17">
        <f t="shared" si="47"/>
        <v>-0.27027027027027029</v>
      </c>
      <c r="AB91" s="17">
        <f t="shared" si="48"/>
        <v>-1.8181818181818181E-2</v>
      </c>
      <c r="AC91" s="17" t="str">
        <f t="shared" si="49"/>
        <v/>
      </c>
    </row>
    <row r="92" spans="1:29" outlineLevel="6" x14ac:dyDescent="0.2">
      <c r="A92" s="8" t="s">
        <v>18</v>
      </c>
      <c r="B92" s="31" t="s">
        <v>128</v>
      </c>
      <c r="C92" s="32" t="s">
        <v>129</v>
      </c>
      <c r="D92" s="20" t="s">
        <v>134</v>
      </c>
      <c r="E92" s="12">
        <v>343</v>
      </c>
      <c r="F92" s="33" t="s">
        <v>135</v>
      </c>
      <c r="G92" s="101">
        <v>29</v>
      </c>
      <c r="H92" s="101">
        <v>45</v>
      </c>
      <c r="I92" s="101">
        <v>64</v>
      </c>
      <c r="J92" s="101">
        <v>60</v>
      </c>
      <c r="K92" s="101">
        <v>66</v>
      </c>
      <c r="L92" s="101">
        <v>75</v>
      </c>
      <c r="M92" s="101">
        <v>59</v>
      </c>
      <c r="N92" s="15">
        <v>59</v>
      </c>
      <c r="O92" s="15">
        <v>69</v>
      </c>
      <c r="P92" s="15">
        <v>64</v>
      </c>
      <c r="Q92" s="15">
        <v>57</v>
      </c>
      <c r="R92" s="15">
        <v>72</v>
      </c>
      <c r="S92" s="15">
        <v>65</v>
      </c>
      <c r="T92" s="15">
        <v>61</v>
      </c>
      <c r="U92" s="15">
        <v>44</v>
      </c>
      <c r="V92" s="15">
        <v>53</v>
      </c>
      <c r="W92" s="15">
        <v>51</v>
      </c>
      <c r="X92" s="15">
        <f>29+4</f>
        <v>33</v>
      </c>
      <c r="Y92" s="15">
        <f>24+7</f>
        <v>31</v>
      </c>
      <c r="Z92" s="34">
        <v>20</v>
      </c>
      <c r="AA92" s="17">
        <f t="shared" si="47"/>
        <v>-0.35483870967741937</v>
      </c>
      <c r="AB92" s="17">
        <f t="shared" si="48"/>
        <v>-0.62264150943396224</v>
      </c>
      <c r="AC92" s="17">
        <f t="shared" si="49"/>
        <v>-0.6875</v>
      </c>
    </row>
    <row r="93" spans="1:29" s="44" customFormat="1" outlineLevel="4" x14ac:dyDescent="0.2">
      <c r="A93" s="22"/>
      <c r="B93" s="39" t="s">
        <v>136</v>
      </c>
      <c r="C93" s="40"/>
      <c r="D93" s="24"/>
      <c r="E93" s="25"/>
      <c r="F93" s="41"/>
      <c r="G93" s="102">
        <f t="shared" ref="G93:M93" si="64">SUBTOTAL(9,G89:G92)</f>
        <v>72</v>
      </c>
      <c r="H93" s="102">
        <f t="shared" si="64"/>
        <v>79</v>
      </c>
      <c r="I93" s="102">
        <f t="shared" si="64"/>
        <v>99</v>
      </c>
      <c r="J93" s="102">
        <f t="shared" si="64"/>
        <v>97</v>
      </c>
      <c r="K93" s="102">
        <f t="shared" si="64"/>
        <v>108</v>
      </c>
      <c r="L93" s="102">
        <f t="shared" si="64"/>
        <v>122</v>
      </c>
      <c r="M93" s="102">
        <f t="shared" si="64"/>
        <v>111</v>
      </c>
      <c r="N93" s="28">
        <f t="shared" ref="N93:X93" si="65">SUBTOTAL(9,N89:N92)</f>
        <v>127</v>
      </c>
      <c r="O93" s="28">
        <f t="shared" si="65"/>
        <v>121</v>
      </c>
      <c r="P93" s="28">
        <f t="shared" si="65"/>
        <v>122</v>
      </c>
      <c r="Q93" s="28">
        <f t="shared" si="65"/>
        <v>111</v>
      </c>
      <c r="R93" s="28">
        <f t="shared" si="65"/>
        <v>136</v>
      </c>
      <c r="S93" s="28">
        <f t="shared" si="65"/>
        <v>144</v>
      </c>
      <c r="T93" s="28">
        <f t="shared" si="65"/>
        <v>152</v>
      </c>
      <c r="U93" s="28">
        <f t="shared" si="65"/>
        <v>143</v>
      </c>
      <c r="V93" s="28">
        <f t="shared" si="65"/>
        <v>159</v>
      </c>
      <c r="W93" s="28">
        <f t="shared" si="65"/>
        <v>184</v>
      </c>
      <c r="X93" s="28">
        <f t="shared" si="65"/>
        <v>159</v>
      </c>
      <c r="Y93" s="28">
        <f t="shared" ref="Y93:Z93" si="66">SUBTOTAL(9,Y89:Y92)</f>
        <v>146</v>
      </c>
      <c r="Z93" s="43">
        <f t="shared" si="66"/>
        <v>122</v>
      </c>
      <c r="AA93" s="17">
        <f t="shared" si="47"/>
        <v>-0.16438356164383561</v>
      </c>
      <c r="AB93" s="17">
        <f t="shared" si="48"/>
        <v>-0.23270440251572327</v>
      </c>
      <c r="AC93" s="17">
        <f t="shared" si="49"/>
        <v>0</v>
      </c>
    </row>
    <row r="94" spans="1:29" outlineLevel="6" x14ac:dyDescent="0.2">
      <c r="A94" s="8" t="s">
        <v>18</v>
      </c>
      <c r="B94" s="31" t="s">
        <v>137</v>
      </c>
      <c r="C94" s="32" t="s">
        <v>138</v>
      </c>
      <c r="D94" s="20" t="s">
        <v>139</v>
      </c>
      <c r="E94" s="12">
        <v>624</v>
      </c>
      <c r="F94" s="33">
        <v>1955</v>
      </c>
      <c r="G94" s="101">
        <v>1</v>
      </c>
      <c r="H94" s="101">
        <v>1</v>
      </c>
      <c r="I94" s="101">
        <v>1</v>
      </c>
      <c r="J94" s="101">
        <v>1</v>
      </c>
      <c r="K94" s="101"/>
      <c r="L94" s="101">
        <v>1</v>
      </c>
      <c r="M94" s="101">
        <v>1</v>
      </c>
      <c r="N94" s="15">
        <v>1</v>
      </c>
      <c r="O94" s="15">
        <v>1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15">
        <v>0</v>
      </c>
      <c r="V94" s="15"/>
      <c r="W94" s="15"/>
      <c r="X94" s="15"/>
      <c r="Y94" s="15"/>
      <c r="Z94" s="34"/>
      <c r="AA94" s="17" t="str">
        <f t="shared" si="47"/>
        <v/>
      </c>
      <c r="AB94" s="17" t="str">
        <f t="shared" si="48"/>
        <v/>
      </c>
      <c r="AC94" s="17" t="str">
        <f t="shared" si="49"/>
        <v/>
      </c>
    </row>
    <row r="95" spans="1:29" outlineLevel="5" x14ac:dyDescent="0.2">
      <c r="A95" s="8"/>
      <c r="B95" s="31"/>
      <c r="C95" s="40" t="s">
        <v>140</v>
      </c>
      <c r="D95" s="20"/>
      <c r="E95" s="12"/>
      <c r="F95" s="33"/>
      <c r="G95" s="101">
        <f t="shared" ref="G95:M95" si="67">SUBTOTAL(9,G94:G94)</f>
        <v>1</v>
      </c>
      <c r="H95" s="101">
        <f t="shared" si="67"/>
        <v>1</v>
      </c>
      <c r="I95" s="101">
        <f t="shared" si="67"/>
        <v>1</v>
      </c>
      <c r="J95" s="101">
        <f t="shared" si="67"/>
        <v>1</v>
      </c>
      <c r="K95" s="101">
        <f t="shared" si="67"/>
        <v>0</v>
      </c>
      <c r="L95" s="101">
        <f t="shared" si="67"/>
        <v>1</v>
      </c>
      <c r="M95" s="101">
        <f t="shared" si="67"/>
        <v>1</v>
      </c>
      <c r="N95" s="15">
        <f t="shared" ref="N95:W95" si="68">SUBTOTAL(9,N94:N94)</f>
        <v>1</v>
      </c>
      <c r="O95" s="15">
        <f t="shared" si="68"/>
        <v>1</v>
      </c>
      <c r="P95" s="15">
        <f t="shared" si="68"/>
        <v>0</v>
      </c>
      <c r="Q95" s="15">
        <f t="shared" si="68"/>
        <v>0</v>
      </c>
      <c r="R95" s="15">
        <f t="shared" si="68"/>
        <v>0</v>
      </c>
      <c r="S95" s="15">
        <f t="shared" si="68"/>
        <v>1</v>
      </c>
      <c r="T95" s="15">
        <f t="shared" si="68"/>
        <v>0</v>
      </c>
      <c r="U95" s="15">
        <f t="shared" si="68"/>
        <v>0</v>
      </c>
      <c r="V95" s="15">
        <f t="shared" si="68"/>
        <v>0</v>
      </c>
      <c r="W95" s="15">
        <f t="shared" si="68"/>
        <v>0</v>
      </c>
      <c r="X95" s="15"/>
      <c r="Y95" s="15"/>
      <c r="Z95" s="34"/>
      <c r="AA95" s="17" t="str">
        <f t="shared" si="47"/>
        <v/>
      </c>
      <c r="AB95" s="17" t="str">
        <f t="shared" si="48"/>
        <v/>
      </c>
      <c r="AC95" s="17" t="str">
        <f t="shared" si="49"/>
        <v/>
      </c>
    </row>
    <row r="96" spans="1:29" outlineLevel="6" x14ac:dyDescent="0.2">
      <c r="A96" s="8" t="s">
        <v>18</v>
      </c>
      <c r="B96" s="31" t="s">
        <v>137</v>
      </c>
      <c r="C96" s="32" t="s">
        <v>141</v>
      </c>
      <c r="D96" s="20" t="s">
        <v>142</v>
      </c>
      <c r="E96" s="12">
        <v>620</v>
      </c>
      <c r="F96" s="33">
        <v>1980</v>
      </c>
      <c r="G96" s="101">
        <v>19</v>
      </c>
      <c r="H96" s="101">
        <v>23</v>
      </c>
      <c r="I96" s="101">
        <v>13</v>
      </c>
      <c r="J96" s="101">
        <v>21</v>
      </c>
      <c r="K96" s="101">
        <v>19</v>
      </c>
      <c r="L96" s="101">
        <v>21</v>
      </c>
      <c r="M96" s="101">
        <v>17</v>
      </c>
      <c r="N96" s="15">
        <v>20</v>
      </c>
      <c r="O96" s="15">
        <v>24</v>
      </c>
      <c r="P96" s="15">
        <v>24</v>
      </c>
      <c r="Q96" s="15">
        <v>22</v>
      </c>
      <c r="R96" s="15">
        <v>28</v>
      </c>
      <c r="S96" s="15">
        <v>26</v>
      </c>
      <c r="T96" s="15">
        <v>21</v>
      </c>
      <c r="U96" s="15">
        <v>16</v>
      </c>
      <c r="V96" s="15">
        <f>11-1</f>
        <v>10</v>
      </c>
      <c r="W96" s="15">
        <v>10</v>
      </c>
      <c r="X96" s="15">
        <v>3</v>
      </c>
      <c r="Y96" s="15">
        <v>5</v>
      </c>
      <c r="Z96" s="34">
        <v>6</v>
      </c>
      <c r="AA96" s="17">
        <f t="shared" si="47"/>
        <v>0.2</v>
      </c>
      <c r="AB96" s="17">
        <f t="shared" si="48"/>
        <v>-0.4</v>
      </c>
      <c r="AC96" s="17">
        <f t="shared" si="49"/>
        <v>-0.75</v>
      </c>
    </row>
    <row r="97" spans="1:29" outlineLevel="6" x14ac:dyDescent="0.2">
      <c r="A97" s="8" t="s">
        <v>18</v>
      </c>
      <c r="B97" s="31" t="s">
        <v>137</v>
      </c>
      <c r="C97" s="32" t="s">
        <v>141</v>
      </c>
      <c r="D97" s="20" t="s">
        <v>143</v>
      </c>
      <c r="E97" s="12">
        <v>636</v>
      </c>
      <c r="F97" s="33">
        <v>1985</v>
      </c>
      <c r="G97" s="101">
        <v>3</v>
      </c>
      <c r="H97" s="101">
        <v>1</v>
      </c>
      <c r="I97" s="101"/>
      <c r="J97" s="101"/>
      <c r="K97" s="101"/>
      <c r="L97" s="101"/>
      <c r="M97" s="101">
        <v>1</v>
      </c>
      <c r="N97" s="15">
        <v>1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/>
      <c r="W97" s="15">
        <v>2</v>
      </c>
      <c r="X97" s="15">
        <v>1</v>
      </c>
      <c r="Y97" s="15"/>
      <c r="Z97" s="34"/>
      <c r="AA97" s="17" t="str">
        <f t="shared" si="47"/>
        <v/>
      </c>
      <c r="AB97" s="17" t="str">
        <f t="shared" si="48"/>
        <v/>
      </c>
      <c r="AC97" s="17" t="str">
        <f t="shared" si="49"/>
        <v/>
      </c>
    </row>
    <row r="98" spans="1:29" outlineLevel="6" x14ac:dyDescent="0.2">
      <c r="A98" s="8" t="s">
        <v>18</v>
      </c>
      <c r="B98" s="31" t="s">
        <v>137</v>
      </c>
      <c r="C98" s="32" t="s">
        <v>141</v>
      </c>
      <c r="D98" s="20" t="s">
        <v>144</v>
      </c>
      <c r="E98" s="12"/>
      <c r="F98" s="33">
        <v>1992</v>
      </c>
      <c r="G98" s="101"/>
      <c r="H98" s="101"/>
      <c r="I98" s="101"/>
      <c r="J98" s="101"/>
      <c r="K98" s="101"/>
      <c r="L98" s="101"/>
      <c r="M98" s="101"/>
      <c r="N98" s="15"/>
      <c r="O98" s="15"/>
      <c r="P98" s="15"/>
      <c r="Q98" s="15"/>
      <c r="R98" s="15">
        <v>2</v>
      </c>
      <c r="S98" s="15">
        <v>6</v>
      </c>
      <c r="T98" s="15">
        <v>5</v>
      </c>
      <c r="U98" s="15">
        <v>6</v>
      </c>
      <c r="V98" s="15">
        <v>9</v>
      </c>
      <c r="W98" s="15">
        <v>5</v>
      </c>
      <c r="X98" s="15">
        <v>3</v>
      </c>
      <c r="Y98" s="15">
        <v>2</v>
      </c>
      <c r="Z98" s="34">
        <v>2</v>
      </c>
      <c r="AA98" s="17">
        <f t="shared" si="47"/>
        <v>0</v>
      </c>
      <c r="AB98" s="17">
        <f t="shared" si="48"/>
        <v>-0.77777777777777779</v>
      </c>
      <c r="AC98" s="17" t="str">
        <f t="shared" si="49"/>
        <v/>
      </c>
    </row>
    <row r="99" spans="1:29" outlineLevel="6" x14ac:dyDescent="0.2">
      <c r="A99" s="8" t="s">
        <v>18</v>
      </c>
      <c r="B99" s="31" t="s">
        <v>137</v>
      </c>
      <c r="C99" s="32" t="s">
        <v>141</v>
      </c>
      <c r="D99" s="20" t="s">
        <v>145</v>
      </c>
      <c r="E99" s="12"/>
      <c r="F99" s="33">
        <v>1993</v>
      </c>
      <c r="G99" s="101"/>
      <c r="H99" s="101"/>
      <c r="I99" s="101"/>
      <c r="J99" s="101"/>
      <c r="K99" s="101"/>
      <c r="L99" s="101"/>
      <c r="M99" s="101"/>
      <c r="N99" s="15"/>
      <c r="O99" s="15"/>
      <c r="P99" s="15"/>
      <c r="Q99" s="15"/>
      <c r="R99" s="15"/>
      <c r="S99" s="15">
        <v>1</v>
      </c>
      <c r="T99" s="15">
        <v>0</v>
      </c>
      <c r="U99" s="15">
        <v>2</v>
      </c>
      <c r="V99" s="15"/>
      <c r="W99" s="15">
        <v>1</v>
      </c>
      <c r="X99" s="15">
        <v>1</v>
      </c>
      <c r="Y99" s="15"/>
      <c r="Z99" s="34"/>
      <c r="AA99" s="17" t="str">
        <f t="shared" si="47"/>
        <v/>
      </c>
      <c r="AB99" s="17" t="str">
        <f t="shared" si="48"/>
        <v/>
      </c>
      <c r="AC99" s="17" t="str">
        <f t="shared" si="49"/>
        <v/>
      </c>
    </row>
    <row r="100" spans="1:29" outlineLevel="6" x14ac:dyDescent="0.2">
      <c r="A100" s="8" t="s">
        <v>18</v>
      </c>
      <c r="B100" s="31" t="s">
        <v>137</v>
      </c>
      <c r="C100" s="32" t="s">
        <v>141</v>
      </c>
      <c r="D100" s="20" t="s">
        <v>146</v>
      </c>
      <c r="E100" s="12">
        <v>320</v>
      </c>
      <c r="F100" s="33" t="s">
        <v>147</v>
      </c>
      <c r="G100" s="101">
        <v>5</v>
      </c>
      <c r="H100" s="101">
        <v>14</v>
      </c>
      <c r="I100" s="101">
        <v>9</v>
      </c>
      <c r="J100" s="101">
        <v>8</v>
      </c>
      <c r="K100" s="101">
        <v>11</v>
      </c>
      <c r="L100" s="101">
        <v>12</v>
      </c>
      <c r="M100" s="101">
        <v>11</v>
      </c>
      <c r="N100" s="15">
        <v>10</v>
      </c>
      <c r="O100" s="15">
        <v>14</v>
      </c>
      <c r="P100" s="15">
        <v>12</v>
      </c>
      <c r="Q100" s="15">
        <v>18</v>
      </c>
      <c r="R100" s="15">
        <v>12</v>
      </c>
      <c r="S100" s="15">
        <v>0</v>
      </c>
      <c r="T100" s="15">
        <v>0</v>
      </c>
      <c r="U100" s="15">
        <v>0</v>
      </c>
      <c r="V100" s="15"/>
      <c r="W100" s="15"/>
      <c r="X100" s="15"/>
      <c r="Y100" s="15"/>
      <c r="Z100" s="34"/>
      <c r="AA100" s="17" t="str">
        <f t="shared" si="47"/>
        <v/>
      </c>
      <c r="AB100" s="17" t="str">
        <f t="shared" si="48"/>
        <v/>
      </c>
      <c r="AC100" s="17">
        <f t="shared" si="49"/>
        <v>-1</v>
      </c>
    </row>
    <row r="101" spans="1:29" outlineLevel="5" x14ac:dyDescent="0.2">
      <c r="A101" s="8"/>
      <c r="B101" s="31"/>
      <c r="C101" s="40" t="s">
        <v>148</v>
      </c>
      <c r="D101" s="20"/>
      <c r="E101" s="12"/>
      <c r="F101" s="33"/>
      <c r="G101" s="101">
        <f t="shared" ref="G101:M101" si="69">SUBTOTAL(9,G96:G100)</f>
        <v>27</v>
      </c>
      <c r="H101" s="101">
        <f t="shared" si="69"/>
        <v>38</v>
      </c>
      <c r="I101" s="101">
        <f t="shared" si="69"/>
        <v>22</v>
      </c>
      <c r="J101" s="101">
        <f t="shared" si="69"/>
        <v>29</v>
      </c>
      <c r="K101" s="101">
        <f t="shared" si="69"/>
        <v>30</v>
      </c>
      <c r="L101" s="101">
        <f t="shared" si="69"/>
        <v>33</v>
      </c>
      <c r="M101" s="101">
        <f t="shared" si="69"/>
        <v>29</v>
      </c>
      <c r="N101" s="15">
        <f t="shared" ref="N101:X101" si="70">SUBTOTAL(9,N96:N100)</f>
        <v>31</v>
      </c>
      <c r="O101" s="15">
        <f t="shared" si="70"/>
        <v>38</v>
      </c>
      <c r="P101" s="15">
        <f t="shared" si="70"/>
        <v>36</v>
      </c>
      <c r="Q101" s="15">
        <f t="shared" si="70"/>
        <v>40</v>
      </c>
      <c r="R101" s="15">
        <f t="shared" si="70"/>
        <v>42</v>
      </c>
      <c r="S101" s="15">
        <f t="shared" si="70"/>
        <v>33</v>
      </c>
      <c r="T101" s="15">
        <f t="shared" si="70"/>
        <v>26</v>
      </c>
      <c r="U101" s="15">
        <f t="shared" si="70"/>
        <v>24</v>
      </c>
      <c r="V101" s="15">
        <f t="shared" si="70"/>
        <v>19</v>
      </c>
      <c r="W101" s="15">
        <f t="shared" si="70"/>
        <v>18</v>
      </c>
      <c r="X101" s="15">
        <f t="shared" si="70"/>
        <v>8</v>
      </c>
      <c r="Y101" s="15">
        <f t="shared" ref="Y101:Z101" si="71">SUBTOTAL(9,Y96:Y100)</f>
        <v>7</v>
      </c>
      <c r="Z101" s="34">
        <f t="shared" si="71"/>
        <v>8</v>
      </c>
      <c r="AA101" s="17">
        <f t="shared" si="47"/>
        <v>0.14285714285714285</v>
      </c>
      <c r="AB101" s="17">
        <f t="shared" si="48"/>
        <v>-0.57894736842105265</v>
      </c>
      <c r="AC101" s="17">
        <f t="shared" si="49"/>
        <v>-0.77777777777777779</v>
      </c>
    </row>
    <row r="102" spans="1:29" outlineLevel="6" x14ac:dyDescent="0.2">
      <c r="A102" s="8" t="s">
        <v>18</v>
      </c>
      <c r="B102" s="31" t="s">
        <v>137</v>
      </c>
      <c r="C102" s="32" t="s">
        <v>149</v>
      </c>
      <c r="D102" s="20" t="s">
        <v>150</v>
      </c>
      <c r="E102" s="12">
        <v>621</v>
      </c>
      <c r="F102" s="33">
        <v>2010</v>
      </c>
      <c r="G102" s="101">
        <v>11</v>
      </c>
      <c r="H102" s="101">
        <v>9</v>
      </c>
      <c r="I102" s="101">
        <v>14</v>
      </c>
      <c r="J102" s="101">
        <v>12</v>
      </c>
      <c r="K102" s="101">
        <v>14</v>
      </c>
      <c r="L102" s="101">
        <v>19</v>
      </c>
      <c r="M102" s="101">
        <v>9</v>
      </c>
      <c r="N102" s="15">
        <v>18</v>
      </c>
      <c r="O102" s="15">
        <v>16</v>
      </c>
      <c r="P102" s="15">
        <v>16</v>
      </c>
      <c r="Q102" s="15">
        <v>16</v>
      </c>
      <c r="R102" s="15">
        <v>13</v>
      </c>
      <c r="S102" s="15">
        <v>11</v>
      </c>
      <c r="T102" s="15">
        <v>14</v>
      </c>
      <c r="U102" s="15">
        <v>7</v>
      </c>
      <c r="V102" s="15">
        <v>9</v>
      </c>
      <c r="W102" s="15">
        <v>9</v>
      </c>
      <c r="X102" s="15">
        <v>12</v>
      </c>
      <c r="Y102" s="15">
        <v>9</v>
      </c>
      <c r="Z102" s="34">
        <v>3</v>
      </c>
      <c r="AA102" s="17">
        <f t="shared" si="47"/>
        <v>-0.66666666666666663</v>
      </c>
      <c r="AB102" s="17">
        <f t="shared" si="48"/>
        <v>-0.66666666666666663</v>
      </c>
      <c r="AC102" s="17">
        <f t="shared" si="49"/>
        <v>-0.8125</v>
      </c>
    </row>
    <row r="103" spans="1:29" outlineLevel="6" x14ac:dyDescent="0.2">
      <c r="A103" s="8" t="s">
        <v>18</v>
      </c>
      <c r="B103" s="31" t="s">
        <v>137</v>
      </c>
      <c r="C103" s="32" t="s">
        <v>149</v>
      </c>
      <c r="D103" s="20" t="s">
        <v>151</v>
      </c>
      <c r="E103" s="12">
        <v>631</v>
      </c>
      <c r="F103" s="33">
        <v>2015</v>
      </c>
      <c r="G103" s="101">
        <v>1</v>
      </c>
      <c r="H103" s="101">
        <v>4</v>
      </c>
      <c r="I103" s="101">
        <v>5</v>
      </c>
      <c r="J103" s="101">
        <v>3</v>
      </c>
      <c r="K103" s="101">
        <v>5</v>
      </c>
      <c r="L103" s="101">
        <v>3</v>
      </c>
      <c r="M103" s="101">
        <v>3</v>
      </c>
      <c r="N103" s="15">
        <v>1</v>
      </c>
      <c r="O103" s="15">
        <v>0</v>
      </c>
      <c r="P103" s="15">
        <v>1</v>
      </c>
      <c r="Q103" s="15">
        <v>0</v>
      </c>
      <c r="R103" s="15">
        <v>0</v>
      </c>
      <c r="S103" s="15">
        <v>0</v>
      </c>
      <c r="T103" s="15">
        <v>1</v>
      </c>
      <c r="U103" s="15">
        <v>0</v>
      </c>
      <c r="V103" s="15"/>
      <c r="W103" s="15"/>
      <c r="X103" s="15"/>
      <c r="Y103" s="15"/>
      <c r="Z103" s="34"/>
      <c r="AA103" s="17" t="str">
        <f t="shared" si="47"/>
        <v/>
      </c>
      <c r="AB103" s="17" t="str">
        <f t="shared" si="48"/>
        <v/>
      </c>
      <c r="AC103" s="17">
        <f t="shared" si="49"/>
        <v>-1</v>
      </c>
    </row>
    <row r="104" spans="1:29" outlineLevel="6" x14ac:dyDescent="0.2">
      <c r="A104" s="8" t="s">
        <v>18</v>
      </c>
      <c r="B104" s="31" t="s">
        <v>137</v>
      </c>
      <c r="C104" s="32" t="s">
        <v>149</v>
      </c>
      <c r="D104" s="20" t="s">
        <v>152</v>
      </c>
      <c r="E104" s="12">
        <v>637</v>
      </c>
      <c r="F104" s="33">
        <v>2020</v>
      </c>
      <c r="G104" s="101"/>
      <c r="H104" s="101">
        <v>1</v>
      </c>
      <c r="I104" s="101"/>
      <c r="J104" s="101"/>
      <c r="K104" s="101"/>
      <c r="L104" s="101">
        <v>1</v>
      </c>
      <c r="M104" s="101"/>
      <c r="N104" s="15">
        <v>1</v>
      </c>
      <c r="O104" s="15">
        <v>0</v>
      </c>
      <c r="P104" s="15">
        <v>0</v>
      </c>
      <c r="Q104" s="15">
        <v>0</v>
      </c>
      <c r="R104" s="15">
        <v>1</v>
      </c>
      <c r="S104" s="15">
        <v>0</v>
      </c>
      <c r="T104" s="15">
        <v>0</v>
      </c>
      <c r="U104" s="15">
        <v>0</v>
      </c>
      <c r="V104" s="15"/>
      <c r="W104" s="15"/>
      <c r="X104" s="15"/>
      <c r="Y104" s="15"/>
      <c r="Z104" s="34"/>
      <c r="AA104" s="17" t="str">
        <f t="shared" si="47"/>
        <v/>
      </c>
      <c r="AB104" s="17" t="str">
        <f t="shared" si="48"/>
        <v/>
      </c>
      <c r="AC104" s="17" t="str">
        <f t="shared" si="49"/>
        <v/>
      </c>
    </row>
    <row r="105" spans="1:29" outlineLevel="6" x14ac:dyDescent="0.2">
      <c r="A105" s="8" t="s">
        <v>18</v>
      </c>
      <c r="B105" s="31" t="s">
        <v>137</v>
      </c>
      <c r="C105" s="32" t="s">
        <v>149</v>
      </c>
      <c r="D105" s="20" t="s">
        <v>153</v>
      </c>
      <c r="E105" s="12">
        <v>321</v>
      </c>
      <c r="F105" s="33">
        <v>2025</v>
      </c>
      <c r="G105" s="101">
        <v>1</v>
      </c>
      <c r="H105" s="101">
        <v>3</v>
      </c>
      <c r="I105" s="101">
        <v>2</v>
      </c>
      <c r="J105" s="101">
        <v>3</v>
      </c>
      <c r="K105" s="101">
        <v>3</v>
      </c>
      <c r="L105" s="101">
        <v>2</v>
      </c>
      <c r="M105" s="101">
        <v>5</v>
      </c>
      <c r="N105" s="15">
        <v>4</v>
      </c>
      <c r="O105" s="15">
        <v>4</v>
      </c>
      <c r="P105" s="15">
        <v>3</v>
      </c>
      <c r="Q105" s="15">
        <v>6</v>
      </c>
      <c r="R105" s="15">
        <v>2</v>
      </c>
      <c r="S105" s="15">
        <v>1</v>
      </c>
      <c r="T105" s="15">
        <v>0</v>
      </c>
      <c r="U105" s="15">
        <v>0</v>
      </c>
      <c r="V105" s="15"/>
      <c r="W105" s="15"/>
      <c r="X105" s="15"/>
      <c r="Y105" s="15"/>
      <c r="Z105" s="34"/>
      <c r="AA105" s="17" t="str">
        <f t="shared" si="47"/>
        <v/>
      </c>
      <c r="AB105" s="17" t="str">
        <f t="shared" si="48"/>
        <v/>
      </c>
      <c r="AC105" s="17">
        <f t="shared" si="49"/>
        <v>-1</v>
      </c>
    </row>
    <row r="106" spans="1:29" outlineLevel="6" x14ac:dyDescent="0.2">
      <c r="A106" s="8" t="s">
        <v>18</v>
      </c>
      <c r="B106" s="31" t="s">
        <v>137</v>
      </c>
      <c r="C106" s="32" t="s">
        <v>149</v>
      </c>
      <c r="D106" s="20" t="s">
        <v>154</v>
      </c>
      <c r="E106" s="12"/>
      <c r="F106" s="33">
        <v>2027</v>
      </c>
      <c r="G106" s="101"/>
      <c r="H106" s="101"/>
      <c r="I106" s="101"/>
      <c r="J106" s="101"/>
      <c r="K106" s="101"/>
      <c r="L106" s="101"/>
      <c r="M106" s="101"/>
      <c r="N106" s="15"/>
      <c r="O106" s="15"/>
      <c r="P106" s="15"/>
      <c r="Q106" s="15"/>
      <c r="R106" s="15"/>
      <c r="S106" s="15">
        <v>3</v>
      </c>
      <c r="T106" s="15">
        <v>4</v>
      </c>
      <c r="U106" s="15">
        <v>2</v>
      </c>
      <c r="V106" s="15">
        <v>3</v>
      </c>
      <c r="W106" s="15">
        <v>1</v>
      </c>
      <c r="X106" s="15">
        <v>2</v>
      </c>
      <c r="Y106" s="15">
        <v>4</v>
      </c>
      <c r="Z106" s="34">
        <v>2</v>
      </c>
      <c r="AA106" s="17">
        <f t="shared" si="47"/>
        <v>-0.5</v>
      </c>
      <c r="AB106" s="17">
        <f t="shared" si="48"/>
        <v>-0.33333333333333331</v>
      </c>
      <c r="AC106" s="17" t="str">
        <f t="shared" si="49"/>
        <v/>
      </c>
    </row>
    <row r="107" spans="1:29" outlineLevel="6" x14ac:dyDescent="0.2">
      <c r="A107" s="8" t="s">
        <v>18</v>
      </c>
      <c r="B107" s="31" t="s">
        <v>137</v>
      </c>
      <c r="C107" s="32" t="s">
        <v>149</v>
      </c>
      <c r="D107" s="20" t="s">
        <v>155</v>
      </c>
      <c r="E107" s="12"/>
      <c r="F107" s="33">
        <v>2028</v>
      </c>
      <c r="G107" s="101"/>
      <c r="H107" s="101"/>
      <c r="I107" s="101"/>
      <c r="J107" s="101"/>
      <c r="K107" s="101"/>
      <c r="L107" s="101"/>
      <c r="M107" s="101"/>
      <c r="N107" s="15"/>
      <c r="O107" s="15"/>
      <c r="P107" s="15"/>
      <c r="Q107" s="15"/>
      <c r="R107" s="15"/>
      <c r="S107" s="15">
        <v>2</v>
      </c>
      <c r="T107" s="15">
        <v>0</v>
      </c>
      <c r="U107" s="15">
        <v>0</v>
      </c>
      <c r="V107" s="15"/>
      <c r="W107" s="15"/>
      <c r="X107" s="15"/>
      <c r="Y107" s="15"/>
      <c r="Z107" s="34">
        <v>1</v>
      </c>
      <c r="AA107" s="17" t="str">
        <f t="shared" si="47"/>
        <v/>
      </c>
      <c r="AB107" s="17" t="str">
        <f t="shared" si="48"/>
        <v/>
      </c>
      <c r="AC107" s="17" t="str">
        <f t="shared" si="49"/>
        <v/>
      </c>
    </row>
    <row r="108" spans="1:29" outlineLevel="5" x14ac:dyDescent="0.2">
      <c r="A108" s="8"/>
      <c r="B108" s="31"/>
      <c r="C108" s="40" t="s">
        <v>156</v>
      </c>
      <c r="D108" s="20"/>
      <c r="E108" s="12"/>
      <c r="F108" s="33"/>
      <c r="G108" s="101">
        <f t="shared" ref="G108:M108" si="72">SUBTOTAL(9,G102:G107)</f>
        <v>13</v>
      </c>
      <c r="H108" s="101">
        <f t="shared" si="72"/>
        <v>17</v>
      </c>
      <c r="I108" s="101">
        <f t="shared" si="72"/>
        <v>21</v>
      </c>
      <c r="J108" s="101">
        <f t="shared" si="72"/>
        <v>18</v>
      </c>
      <c r="K108" s="101">
        <f t="shared" si="72"/>
        <v>22</v>
      </c>
      <c r="L108" s="101">
        <f t="shared" si="72"/>
        <v>25</v>
      </c>
      <c r="M108" s="101">
        <f t="shared" si="72"/>
        <v>17</v>
      </c>
      <c r="N108" s="15">
        <f t="shared" ref="N108:X108" si="73">SUBTOTAL(9,N102:N107)</f>
        <v>24</v>
      </c>
      <c r="O108" s="15">
        <f t="shared" si="73"/>
        <v>20</v>
      </c>
      <c r="P108" s="15">
        <f t="shared" si="73"/>
        <v>20</v>
      </c>
      <c r="Q108" s="15">
        <f t="shared" si="73"/>
        <v>22</v>
      </c>
      <c r="R108" s="15">
        <f t="shared" si="73"/>
        <v>16</v>
      </c>
      <c r="S108" s="15">
        <f t="shared" si="73"/>
        <v>17</v>
      </c>
      <c r="T108" s="15">
        <f t="shared" si="73"/>
        <v>19</v>
      </c>
      <c r="U108" s="15">
        <f t="shared" si="73"/>
        <v>9</v>
      </c>
      <c r="V108" s="15">
        <f t="shared" si="73"/>
        <v>12</v>
      </c>
      <c r="W108" s="15">
        <f t="shared" si="73"/>
        <v>10</v>
      </c>
      <c r="X108" s="15">
        <f t="shared" si="73"/>
        <v>14</v>
      </c>
      <c r="Y108" s="15">
        <f t="shared" ref="Y108:Z108" si="74">SUBTOTAL(9,Y102:Y107)</f>
        <v>13</v>
      </c>
      <c r="Z108" s="34">
        <f t="shared" si="74"/>
        <v>6</v>
      </c>
      <c r="AA108" s="17">
        <f t="shared" si="47"/>
        <v>-0.53846153846153844</v>
      </c>
      <c r="AB108" s="17">
        <f t="shared" si="48"/>
        <v>-0.5</v>
      </c>
      <c r="AC108" s="17">
        <f t="shared" si="49"/>
        <v>-0.7</v>
      </c>
    </row>
    <row r="109" spans="1:29" outlineLevel="6" x14ac:dyDescent="0.2">
      <c r="A109" s="8" t="s">
        <v>18</v>
      </c>
      <c r="B109" s="31" t="s">
        <v>137</v>
      </c>
      <c r="C109" s="32" t="s">
        <v>157</v>
      </c>
      <c r="D109" s="20" t="s">
        <v>158</v>
      </c>
      <c r="E109" s="12"/>
      <c r="F109" s="33">
        <v>2040</v>
      </c>
      <c r="G109" s="101"/>
      <c r="H109" s="101"/>
      <c r="I109" s="101"/>
      <c r="J109" s="101"/>
      <c r="K109" s="101"/>
      <c r="L109" s="101"/>
      <c r="M109" s="101"/>
      <c r="N109" s="15"/>
      <c r="O109" s="15"/>
      <c r="P109" s="15">
        <v>17</v>
      </c>
      <c r="Q109" s="15">
        <v>31</v>
      </c>
      <c r="R109" s="15">
        <v>36</v>
      </c>
      <c r="S109" s="15">
        <v>42</v>
      </c>
      <c r="T109" s="15">
        <v>46</v>
      </c>
      <c r="U109" s="15">
        <v>45</v>
      </c>
      <c r="V109" s="15">
        <f>43-2</f>
        <v>41</v>
      </c>
      <c r="W109" s="15">
        <v>30</v>
      </c>
      <c r="X109" s="15">
        <v>34</v>
      </c>
      <c r="Y109" s="15">
        <v>32</v>
      </c>
      <c r="Z109" s="34">
        <v>35</v>
      </c>
      <c r="AA109" s="17">
        <f t="shared" si="47"/>
        <v>9.375E-2</v>
      </c>
      <c r="AB109" s="17">
        <f t="shared" si="48"/>
        <v>-0.14634146341463414</v>
      </c>
      <c r="AC109" s="17">
        <f t="shared" si="49"/>
        <v>1.0588235294117647</v>
      </c>
    </row>
    <row r="110" spans="1:29" outlineLevel="6" x14ac:dyDescent="0.2">
      <c r="A110" s="8" t="s">
        <v>18</v>
      </c>
      <c r="B110" s="31" t="s">
        <v>137</v>
      </c>
      <c r="C110" s="32" t="s">
        <v>157</v>
      </c>
      <c r="D110" s="20" t="s">
        <v>447</v>
      </c>
      <c r="E110" s="12"/>
      <c r="F110" s="33">
        <v>2045</v>
      </c>
      <c r="G110" s="101"/>
      <c r="H110" s="101"/>
      <c r="I110" s="101"/>
      <c r="J110" s="101"/>
      <c r="K110" s="101"/>
      <c r="L110" s="101"/>
      <c r="M110" s="101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>
        <v>1</v>
      </c>
      <c r="Y110" s="15">
        <v>1</v>
      </c>
      <c r="Z110" s="34">
        <v>1</v>
      </c>
      <c r="AA110" s="17">
        <f t="shared" si="47"/>
        <v>0</v>
      </c>
      <c r="AB110" s="17" t="str">
        <f t="shared" si="48"/>
        <v/>
      </c>
      <c r="AC110" s="17" t="str">
        <f t="shared" si="49"/>
        <v/>
      </c>
    </row>
    <row r="111" spans="1:29" outlineLevel="6" x14ac:dyDescent="0.2">
      <c r="A111" s="8" t="s">
        <v>18</v>
      </c>
      <c r="B111" s="31" t="s">
        <v>137</v>
      </c>
      <c r="C111" s="32" t="s">
        <v>157</v>
      </c>
      <c r="D111" s="20" t="s">
        <v>159</v>
      </c>
      <c r="E111" s="12"/>
      <c r="F111" s="33">
        <v>2047</v>
      </c>
      <c r="G111" s="101"/>
      <c r="H111" s="101"/>
      <c r="I111" s="101"/>
      <c r="J111" s="101"/>
      <c r="K111" s="101"/>
      <c r="L111" s="101"/>
      <c r="M111" s="101"/>
      <c r="N111" s="15"/>
      <c r="O111" s="15"/>
      <c r="P111" s="15"/>
      <c r="Q111" s="15"/>
      <c r="R111" s="15"/>
      <c r="S111" s="15"/>
      <c r="T111" s="15">
        <v>1</v>
      </c>
      <c r="U111" s="15">
        <v>2</v>
      </c>
      <c r="V111" s="15">
        <v>2</v>
      </c>
      <c r="W111" s="15">
        <v>5</v>
      </c>
      <c r="X111" s="15">
        <v>3</v>
      </c>
      <c r="Y111" s="15">
        <v>2</v>
      </c>
      <c r="Z111" s="34">
        <v>2</v>
      </c>
      <c r="AA111" s="17">
        <f t="shared" si="47"/>
        <v>0</v>
      </c>
      <c r="AB111" s="17">
        <f t="shared" si="48"/>
        <v>0</v>
      </c>
      <c r="AC111" s="17" t="str">
        <f t="shared" si="49"/>
        <v/>
      </c>
    </row>
    <row r="112" spans="1:29" outlineLevel="6" x14ac:dyDescent="0.2">
      <c r="A112" s="8" t="s">
        <v>18</v>
      </c>
      <c r="B112" s="31" t="s">
        <v>137</v>
      </c>
      <c r="C112" s="32" t="s">
        <v>157</v>
      </c>
      <c r="D112" s="20" t="s">
        <v>468</v>
      </c>
      <c r="E112" s="12"/>
      <c r="F112" s="33">
        <v>2048</v>
      </c>
      <c r="G112" s="101"/>
      <c r="H112" s="101"/>
      <c r="I112" s="101"/>
      <c r="J112" s="101"/>
      <c r="K112" s="101"/>
      <c r="L112" s="101"/>
      <c r="M112" s="101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>
        <v>2</v>
      </c>
      <c r="Z112" s="34">
        <v>2</v>
      </c>
      <c r="AA112" s="17">
        <f t="shared" si="47"/>
        <v>0</v>
      </c>
      <c r="AB112" s="17" t="str">
        <f t="shared" si="48"/>
        <v/>
      </c>
      <c r="AC112" s="17" t="str">
        <f t="shared" si="49"/>
        <v/>
      </c>
    </row>
    <row r="113" spans="1:29" outlineLevel="5" x14ac:dyDescent="0.2">
      <c r="A113" s="8"/>
      <c r="B113" s="31"/>
      <c r="C113" s="40" t="s">
        <v>160</v>
      </c>
      <c r="D113" s="20"/>
      <c r="E113" s="12"/>
      <c r="F113" s="33"/>
      <c r="G113" s="101">
        <f t="shared" ref="G113:M113" si="75">SUBTOTAL(9,G109:G111)</f>
        <v>0</v>
      </c>
      <c r="H113" s="101">
        <f t="shared" si="75"/>
        <v>0</v>
      </c>
      <c r="I113" s="101">
        <f t="shared" si="75"/>
        <v>0</v>
      </c>
      <c r="J113" s="101">
        <f t="shared" si="75"/>
        <v>0</v>
      </c>
      <c r="K113" s="101">
        <f t="shared" si="75"/>
        <v>0</v>
      </c>
      <c r="L113" s="101">
        <f t="shared" si="75"/>
        <v>0</v>
      </c>
      <c r="M113" s="101">
        <f t="shared" si="75"/>
        <v>0</v>
      </c>
      <c r="N113" s="15">
        <f t="shared" ref="N113:X113" si="76">SUBTOTAL(9,N109:N111)</f>
        <v>0</v>
      </c>
      <c r="O113" s="15">
        <f t="shared" si="76"/>
        <v>0</v>
      </c>
      <c r="P113" s="15">
        <f t="shared" si="76"/>
        <v>17</v>
      </c>
      <c r="Q113" s="15">
        <f t="shared" si="76"/>
        <v>31</v>
      </c>
      <c r="R113" s="15">
        <f t="shared" si="76"/>
        <v>36</v>
      </c>
      <c r="S113" s="15">
        <f t="shared" si="76"/>
        <v>42</v>
      </c>
      <c r="T113" s="15">
        <f t="shared" si="76"/>
        <v>47</v>
      </c>
      <c r="U113" s="15">
        <f t="shared" si="76"/>
        <v>47</v>
      </c>
      <c r="V113" s="15">
        <f t="shared" si="76"/>
        <v>43</v>
      </c>
      <c r="W113" s="15">
        <f t="shared" si="76"/>
        <v>35</v>
      </c>
      <c r="X113" s="15">
        <f t="shared" si="76"/>
        <v>38</v>
      </c>
      <c r="Y113" s="15">
        <f>SUBTOTAL(9,Y109:Y112)</f>
        <v>37</v>
      </c>
      <c r="Z113" s="34">
        <f>SUBTOTAL(9,Z109:Z112)</f>
        <v>40</v>
      </c>
      <c r="AA113" s="17">
        <f t="shared" si="47"/>
        <v>8.1081081081081086E-2</v>
      </c>
      <c r="AB113" s="17">
        <f t="shared" si="48"/>
        <v>-6.9767441860465115E-2</v>
      </c>
      <c r="AC113" s="17">
        <f t="shared" si="49"/>
        <v>1.3529411764705883</v>
      </c>
    </row>
    <row r="114" spans="1:29" ht="12.75" customHeight="1" outlineLevel="6" x14ac:dyDescent="0.2">
      <c r="A114" s="8" t="s">
        <v>18</v>
      </c>
      <c r="B114" s="31" t="s">
        <v>137</v>
      </c>
      <c r="C114" s="32" t="s">
        <v>161</v>
      </c>
      <c r="D114" s="20" t="s">
        <v>162</v>
      </c>
      <c r="E114" s="12">
        <v>628</v>
      </c>
      <c r="F114" s="33">
        <v>2070</v>
      </c>
      <c r="G114" s="101">
        <v>2</v>
      </c>
      <c r="H114" s="101">
        <v>2</v>
      </c>
      <c r="I114" s="101">
        <v>1</v>
      </c>
      <c r="J114" s="101">
        <v>2</v>
      </c>
      <c r="K114" s="101">
        <v>1</v>
      </c>
      <c r="L114" s="101"/>
      <c r="M114" s="101">
        <v>1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/>
      <c r="T114" s="15"/>
      <c r="U114" s="15"/>
      <c r="V114" s="15"/>
      <c r="W114" s="15"/>
      <c r="X114" s="15"/>
      <c r="Y114" s="15"/>
      <c r="Z114" s="34"/>
      <c r="AA114" s="17" t="str">
        <f t="shared" si="47"/>
        <v/>
      </c>
      <c r="AB114" s="17" t="str">
        <f t="shared" si="48"/>
        <v/>
      </c>
      <c r="AC114" s="17" t="str">
        <f t="shared" si="49"/>
        <v/>
      </c>
    </row>
    <row r="115" spans="1:29" ht="12.75" customHeight="1" outlineLevel="6" x14ac:dyDescent="0.2">
      <c r="A115" s="8" t="s">
        <v>18</v>
      </c>
      <c r="B115" s="31" t="s">
        <v>137</v>
      </c>
      <c r="C115" s="32" t="s">
        <v>161</v>
      </c>
      <c r="D115" s="20" t="s">
        <v>163</v>
      </c>
      <c r="E115" s="12">
        <v>639</v>
      </c>
      <c r="F115" s="33">
        <v>2075</v>
      </c>
      <c r="G115" s="101">
        <v>1</v>
      </c>
      <c r="H115" s="101"/>
      <c r="I115" s="101">
        <v>1</v>
      </c>
      <c r="J115" s="101"/>
      <c r="K115" s="101"/>
      <c r="L115" s="101"/>
      <c r="M115" s="101"/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/>
      <c r="T115" s="15"/>
      <c r="U115" s="15"/>
      <c r="V115" s="15"/>
      <c r="W115" s="15"/>
      <c r="X115" s="15"/>
      <c r="Y115" s="15"/>
      <c r="Z115" s="34"/>
      <c r="AA115" s="17" t="str">
        <f t="shared" si="47"/>
        <v/>
      </c>
      <c r="AB115" s="17" t="str">
        <f t="shared" si="48"/>
        <v/>
      </c>
      <c r="AC115" s="17" t="str">
        <f t="shared" si="49"/>
        <v/>
      </c>
    </row>
    <row r="116" spans="1:29" ht="12.75" customHeight="1" outlineLevel="6" x14ac:dyDescent="0.2">
      <c r="A116" s="8" t="s">
        <v>18</v>
      </c>
      <c r="B116" s="31" t="s">
        <v>137</v>
      </c>
      <c r="C116" s="32" t="s">
        <v>161</v>
      </c>
      <c r="D116" s="20" t="s">
        <v>164</v>
      </c>
      <c r="E116" s="12"/>
      <c r="F116" s="33">
        <v>2080</v>
      </c>
      <c r="G116" s="101"/>
      <c r="H116" s="101">
        <v>1</v>
      </c>
      <c r="I116" s="101">
        <v>1</v>
      </c>
      <c r="J116" s="101">
        <v>1</v>
      </c>
      <c r="K116" s="101"/>
      <c r="L116" s="101"/>
      <c r="M116" s="101"/>
      <c r="N116" s="15">
        <v>0</v>
      </c>
      <c r="O116" s="15">
        <v>0</v>
      </c>
      <c r="P116" s="15">
        <v>0</v>
      </c>
      <c r="Q116" s="15">
        <v>0</v>
      </c>
      <c r="R116" s="15"/>
      <c r="S116" s="15"/>
      <c r="T116" s="15"/>
      <c r="U116" s="15"/>
      <c r="V116" s="15"/>
      <c r="W116" s="15"/>
      <c r="X116" s="15"/>
      <c r="Y116" s="15"/>
      <c r="Z116" s="34"/>
      <c r="AA116" s="17" t="str">
        <f t="shared" si="47"/>
        <v/>
      </c>
      <c r="AB116" s="17" t="str">
        <f t="shared" si="48"/>
        <v/>
      </c>
      <c r="AC116" s="17" t="str">
        <f t="shared" si="49"/>
        <v/>
      </c>
    </row>
    <row r="117" spans="1:29" ht="12.75" customHeight="1" outlineLevel="5" x14ac:dyDescent="0.2">
      <c r="A117" s="8"/>
      <c r="B117" s="31"/>
      <c r="C117" s="40" t="s">
        <v>165</v>
      </c>
      <c r="D117" s="20"/>
      <c r="E117" s="12"/>
      <c r="F117" s="33"/>
      <c r="G117" s="101">
        <f t="shared" ref="G117:Z117" si="77">SUBTOTAL(9,G114:G116)</f>
        <v>3</v>
      </c>
      <c r="H117" s="101">
        <f t="shared" si="77"/>
        <v>3</v>
      </c>
      <c r="I117" s="101">
        <f t="shared" si="77"/>
        <v>3</v>
      </c>
      <c r="J117" s="101">
        <f t="shared" si="77"/>
        <v>3</v>
      </c>
      <c r="K117" s="101">
        <f t="shared" si="77"/>
        <v>1</v>
      </c>
      <c r="L117" s="101">
        <f t="shared" si="77"/>
        <v>0</v>
      </c>
      <c r="M117" s="101">
        <f t="shared" si="77"/>
        <v>1</v>
      </c>
      <c r="N117" s="15">
        <f t="shared" si="77"/>
        <v>0</v>
      </c>
      <c r="O117" s="15">
        <f t="shared" si="77"/>
        <v>0</v>
      </c>
      <c r="P117" s="15">
        <f t="shared" si="77"/>
        <v>0</v>
      </c>
      <c r="Q117" s="15">
        <f t="shared" si="77"/>
        <v>0</v>
      </c>
      <c r="R117" s="15">
        <f t="shared" si="77"/>
        <v>0</v>
      </c>
      <c r="S117" s="15">
        <f t="shared" si="77"/>
        <v>0</v>
      </c>
      <c r="T117" s="15">
        <f t="shared" si="77"/>
        <v>0</v>
      </c>
      <c r="U117" s="15">
        <f t="shared" si="77"/>
        <v>0</v>
      </c>
      <c r="V117" s="15">
        <f t="shared" si="77"/>
        <v>0</v>
      </c>
      <c r="W117" s="15">
        <f t="shared" si="77"/>
        <v>0</v>
      </c>
      <c r="X117" s="15">
        <f t="shared" si="77"/>
        <v>0</v>
      </c>
      <c r="Y117" s="15">
        <f t="shared" si="77"/>
        <v>0</v>
      </c>
      <c r="Z117" s="34">
        <f t="shared" si="77"/>
        <v>0</v>
      </c>
      <c r="AA117" s="17" t="str">
        <f t="shared" si="47"/>
        <v/>
      </c>
      <c r="AB117" s="17" t="str">
        <f t="shared" si="48"/>
        <v/>
      </c>
      <c r="AC117" s="17" t="str">
        <f t="shared" si="49"/>
        <v/>
      </c>
    </row>
    <row r="118" spans="1:29" outlineLevel="6" x14ac:dyDescent="0.2">
      <c r="A118" s="8" t="s">
        <v>18</v>
      </c>
      <c r="B118" s="31" t="s">
        <v>137</v>
      </c>
      <c r="C118" s="32" t="s">
        <v>137</v>
      </c>
      <c r="D118" s="20" t="s">
        <v>166</v>
      </c>
      <c r="E118" s="12">
        <v>630</v>
      </c>
      <c r="F118" s="33">
        <v>2130</v>
      </c>
      <c r="G118" s="101">
        <v>7</v>
      </c>
      <c r="H118" s="101">
        <v>6</v>
      </c>
      <c r="I118" s="101">
        <v>5</v>
      </c>
      <c r="J118" s="101">
        <v>5</v>
      </c>
      <c r="K118" s="101">
        <v>3</v>
      </c>
      <c r="L118" s="101">
        <v>2</v>
      </c>
      <c r="M118" s="101">
        <v>5</v>
      </c>
      <c r="N118" s="15">
        <v>3</v>
      </c>
      <c r="O118" s="15">
        <v>4</v>
      </c>
      <c r="P118" s="15">
        <v>2</v>
      </c>
      <c r="Q118" s="15">
        <v>3</v>
      </c>
      <c r="R118" s="15">
        <v>2</v>
      </c>
      <c r="S118" s="15">
        <v>1</v>
      </c>
      <c r="T118" s="15">
        <v>1</v>
      </c>
      <c r="U118" s="15">
        <v>0</v>
      </c>
      <c r="V118" s="15"/>
      <c r="W118" s="15"/>
      <c r="X118" s="15">
        <v>2</v>
      </c>
      <c r="Y118" s="15">
        <v>1</v>
      </c>
      <c r="Z118" s="34">
        <v>3</v>
      </c>
      <c r="AA118" s="17">
        <f t="shared" si="47"/>
        <v>2</v>
      </c>
      <c r="AB118" s="17" t="str">
        <f t="shared" si="48"/>
        <v/>
      </c>
      <c r="AC118" s="17">
        <f t="shared" si="49"/>
        <v>0.5</v>
      </c>
    </row>
    <row r="119" spans="1:29" outlineLevel="5" x14ac:dyDescent="0.2">
      <c r="A119" s="8"/>
      <c r="B119" s="31"/>
      <c r="C119" s="40" t="s">
        <v>167</v>
      </c>
      <c r="D119" s="20"/>
      <c r="E119" s="12"/>
      <c r="F119" s="33"/>
      <c r="G119" s="101">
        <f t="shared" ref="G119:M119" si="78">SUBTOTAL(9,G118:G118)</f>
        <v>7</v>
      </c>
      <c r="H119" s="101">
        <f t="shared" si="78"/>
        <v>6</v>
      </c>
      <c r="I119" s="101">
        <f t="shared" si="78"/>
        <v>5</v>
      </c>
      <c r="J119" s="101">
        <f t="shared" si="78"/>
        <v>5</v>
      </c>
      <c r="K119" s="101">
        <f t="shared" si="78"/>
        <v>3</v>
      </c>
      <c r="L119" s="101">
        <f t="shared" si="78"/>
        <v>2</v>
      </c>
      <c r="M119" s="101">
        <f t="shared" si="78"/>
        <v>5</v>
      </c>
      <c r="N119" s="15">
        <f t="shared" ref="N119:X119" si="79">SUBTOTAL(9,N118:N118)</f>
        <v>3</v>
      </c>
      <c r="O119" s="15">
        <f t="shared" si="79"/>
        <v>4</v>
      </c>
      <c r="P119" s="15">
        <f t="shared" si="79"/>
        <v>2</v>
      </c>
      <c r="Q119" s="15">
        <f t="shared" si="79"/>
        <v>3</v>
      </c>
      <c r="R119" s="15">
        <f t="shared" si="79"/>
        <v>2</v>
      </c>
      <c r="S119" s="15">
        <f t="shared" si="79"/>
        <v>1</v>
      </c>
      <c r="T119" s="15">
        <f t="shared" si="79"/>
        <v>1</v>
      </c>
      <c r="U119" s="15">
        <f t="shared" si="79"/>
        <v>0</v>
      </c>
      <c r="V119" s="15">
        <f t="shared" si="79"/>
        <v>0</v>
      </c>
      <c r="W119" s="15">
        <f t="shared" si="79"/>
        <v>0</v>
      </c>
      <c r="X119" s="15">
        <f t="shared" si="79"/>
        <v>2</v>
      </c>
      <c r="Y119" s="15">
        <f t="shared" ref="Y119:Z119" si="80">SUBTOTAL(9,Y118:Y118)</f>
        <v>1</v>
      </c>
      <c r="Z119" s="34">
        <f t="shared" si="80"/>
        <v>3</v>
      </c>
      <c r="AA119" s="17">
        <f t="shared" si="47"/>
        <v>2</v>
      </c>
      <c r="AB119" s="17" t="str">
        <f t="shared" si="48"/>
        <v/>
      </c>
      <c r="AC119" s="17">
        <f t="shared" si="49"/>
        <v>0.5</v>
      </c>
    </row>
    <row r="120" spans="1:29" outlineLevel="6" x14ac:dyDescent="0.2">
      <c r="A120" s="8" t="s">
        <v>18</v>
      </c>
      <c r="B120" s="31" t="s">
        <v>137</v>
      </c>
      <c r="C120" s="32" t="s">
        <v>168</v>
      </c>
      <c r="D120" s="20" t="s">
        <v>169</v>
      </c>
      <c r="E120" s="12">
        <v>626</v>
      </c>
      <c r="F120" s="33">
        <v>2060</v>
      </c>
      <c r="G120" s="101"/>
      <c r="H120" s="101"/>
      <c r="I120" s="101"/>
      <c r="J120" s="101"/>
      <c r="K120" s="101">
        <v>2</v>
      </c>
      <c r="L120" s="101">
        <v>2</v>
      </c>
      <c r="M120" s="101">
        <v>1</v>
      </c>
      <c r="N120" s="15">
        <v>0</v>
      </c>
      <c r="O120" s="15">
        <v>0</v>
      </c>
      <c r="P120" s="15">
        <v>0</v>
      </c>
      <c r="Q120" s="15">
        <v>2</v>
      </c>
      <c r="R120" s="15">
        <v>3</v>
      </c>
      <c r="S120" s="15">
        <v>1</v>
      </c>
      <c r="T120" s="15">
        <v>0</v>
      </c>
      <c r="U120" s="15">
        <v>0</v>
      </c>
      <c r="V120" s="15"/>
      <c r="W120" s="15">
        <v>1</v>
      </c>
      <c r="X120" s="15"/>
      <c r="Y120" s="15">
        <v>1</v>
      </c>
      <c r="Z120" s="34"/>
      <c r="AA120" s="17">
        <f t="shared" si="47"/>
        <v>-1</v>
      </c>
      <c r="AB120" s="17" t="str">
        <f t="shared" si="48"/>
        <v/>
      </c>
      <c r="AC120" s="17" t="str">
        <f t="shared" si="49"/>
        <v/>
      </c>
    </row>
    <row r="121" spans="1:29" outlineLevel="6" x14ac:dyDescent="0.2">
      <c r="A121" s="8" t="s">
        <v>18</v>
      </c>
      <c r="B121" s="31" t="s">
        <v>137</v>
      </c>
      <c r="C121" s="32" t="s">
        <v>168</v>
      </c>
      <c r="D121" s="20" t="s">
        <v>170</v>
      </c>
      <c r="E121" s="12">
        <v>623</v>
      </c>
      <c r="F121" s="33">
        <v>2100</v>
      </c>
      <c r="G121" s="101">
        <v>32</v>
      </c>
      <c r="H121" s="101">
        <v>17</v>
      </c>
      <c r="I121" s="101">
        <v>23</v>
      </c>
      <c r="J121" s="101">
        <v>23</v>
      </c>
      <c r="K121" s="101">
        <v>22</v>
      </c>
      <c r="L121" s="101">
        <v>19</v>
      </c>
      <c r="M121" s="101">
        <v>27</v>
      </c>
      <c r="N121" s="15">
        <v>39</v>
      </c>
      <c r="O121" s="15">
        <v>40</v>
      </c>
      <c r="P121" s="15">
        <v>50</v>
      </c>
      <c r="Q121" s="15">
        <v>51</v>
      </c>
      <c r="R121" s="15">
        <v>51</v>
      </c>
      <c r="S121" s="15">
        <v>36</v>
      </c>
      <c r="T121" s="15">
        <v>32</v>
      </c>
      <c r="U121" s="15">
        <v>35</v>
      </c>
      <c r="V121" s="15">
        <f>29-1</f>
        <v>28</v>
      </c>
      <c r="W121" s="15">
        <v>25</v>
      </c>
      <c r="X121" s="15">
        <v>23</v>
      </c>
      <c r="Y121" s="15">
        <v>16</v>
      </c>
      <c r="Z121" s="34">
        <v>18</v>
      </c>
      <c r="AA121" s="17">
        <f t="shared" si="47"/>
        <v>0.125</v>
      </c>
      <c r="AB121" s="17">
        <f t="shared" si="48"/>
        <v>-0.35714285714285715</v>
      </c>
      <c r="AC121" s="17">
        <f t="shared" si="49"/>
        <v>-0.64</v>
      </c>
    </row>
    <row r="122" spans="1:29" s="51" customFormat="1" outlineLevel="6" x14ac:dyDescent="0.2">
      <c r="A122" s="8" t="s">
        <v>18</v>
      </c>
      <c r="B122" s="31" t="s">
        <v>137</v>
      </c>
      <c r="C122" s="32" t="s">
        <v>168</v>
      </c>
      <c r="D122" s="20" t="s">
        <v>171</v>
      </c>
      <c r="E122" s="12">
        <v>638</v>
      </c>
      <c r="F122" s="33">
        <v>2110</v>
      </c>
      <c r="G122" s="101">
        <v>2</v>
      </c>
      <c r="H122" s="101">
        <v>4</v>
      </c>
      <c r="I122" s="101">
        <v>3</v>
      </c>
      <c r="J122" s="101">
        <v>1</v>
      </c>
      <c r="K122" s="101">
        <v>2</v>
      </c>
      <c r="L122" s="101">
        <v>4</v>
      </c>
      <c r="M122" s="101">
        <v>2</v>
      </c>
      <c r="N122" s="15">
        <v>3</v>
      </c>
      <c r="O122" s="15">
        <v>4</v>
      </c>
      <c r="P122" s="15">
        <v>2</v>
      </c>
      <c r="Q122" s="15">
        <v>3</v>
      </c>
      <c r="R122" s="15">
        <v>2</v>
      </c>
      <c r="S122" s="15">
        <v>0</v>
      </c>
      <c r="T122" s="15">
        <v>0</v>
      </c>
      <c r="U122" s="15">
        <v>0</v>
      </c>
      <c r="V122" s="15">
        <v>1</v>
      </c>
      <c r="W122" s="15">
        <v>1</v>
      </c>
      <c r="X122" s="15"/>
      <c r="Y122" s="15"/>
      <c r="Z122" s="34"/>
      <c r="AA122" s="17" t="str">
        <f t="shared" si="47"/>
        <v/>
      </c>
      <c r="AB122" s="17">
        <f t="shared" si="48"/>
        <v>-1</v>
      </c>
      <c r="AC122" s="17">
        <f t="shared" si="49"/>
        <v>-1</v>
      </c>
    </row>
    <row r="123" spans="1:29" s="51" customFormat="1" outlineLevel="6" x14ac:dyDescent="0.2">
      <c r="A123" s="8" t="s">
        <v>18</v>
      </c>
      <c r="B123" s="31" t="s">
        <v>137</v>
      </c>
      <c r="C123" s="32" t="s">
        <v>168</v>
      </c>
      <c r="D123" s="20" t="s">
        <v>172</v>
      </c>
      <c r="E123" s="12"/>
      <c r="F123" s="33">
        <v>2122</v>
      </c>
      <c r="G123" s="101"/>
      <c r="H123" s="101"/>
      <c r="I123" s="101"/>
      <c r="J123" s="101"/>
      <c r="K123" s="101"/>
      <c r="L123" s="101"/>
      <c r="M123" s="101"/>
      <c r="N123" s="15"/>
      <c r="O123" s="15"/>
      <c r="P123" s="15">
        <v>1</v>
      </c>
      <c r="Q123" s="15">
        <v>0</v>
      </c>
      <c r="R123" s="15">
        <v>4</v>
      </c>
      <c r="S123" s="15">
        <v>28</v>
      </c>
      <c r="T123" s="15">
        <v>29</v>
      </c>
      <c r="U123" s="15">
        <v>30</v>
      </c>
      <c r="V123" s="15">
        <f>28-1</f>
        <v>27</v>
      </c>
      <c r="W123" s="15">
        <f>19-2</f>
        <v>17</v>
      </c>
      <c r="X123" s="15">
        <v>15</v>
      </c>
      <c r="Y123" s="15">
        <v>16</v>
      </c>
      <c r="Z123" s="34">
        <v>12</v>
      </c>
      <c r="AA123" s="17">
        <f t="shared" si="47"/>
        <v>-0.25</v>
      </c>
      <c r="AB123" s="17">
        <f t="shared" si="48"/>
        <v>-0.55555555555555558</v>
      </c>
      <c r="AC123" s="17">
        <f t="shared" si="49"/>
        <v>11</v>
      </c>
    </row>
    <row r="124" spans="1:29" outlineLevel="6" x14ac:dyDescent="0.2">
      <c r="A124" s="8" t="s">
        <v>18</v>
      </c>
      <c r="B124" s="31" t="s">
        <v>137</v>
      </c>
      <c r="C124" s="32" t="s">
        <v>168</v>
      </c>
      <c r="D124" s="20" t="s">
        <v>173</v>
      </c>
      <c r="E124" s="12"/>
      <c r="F124" s="33">
        <v>2123</v>
      </c>
      <c r="G124" s="101"/>
      <c r="H124" s="101"/>
      <c r="I124" s="101"/>
      <c r="J124" s="101"/>
      <c r="K124" s="101"/>
      <c r="L124" s="101"/>
      <c r="M124" s="101"/>
      <c r="N124" s="15"/>
      <c r="O124" s="15"/>
      <c r="P124" s="15"/>
      <c r="Q124" s="15"/>
      <c r="R124" s="15"/>
      <c r="S124" s="15">
        <v>5</v>
      </c>
      <c r="T124" s="15">
        <v>2</v>
      </c>
      <c r="U124" s="15">
        <v>2</v>
      </c>
      <c r="V124" s="15">
        <v>2</v>
      </c>
      <c r="W124" s="15">
        <v>7</v>
      </c>
      <c r="X124" s="15">
        <v>3</v>
      </c>
      <c r="Y124" s="15">
        <v>3</v>
      </c>
      <c r="Z124" s="34">
        <v>1</v>
      </c>
      <c r="AA124" s="17">
        <f t="shared" si="47"/>
        <v>-0.66666666666666663</v>
      </c>
      <c r="AB124" s="17">
        <f t="shared" si="48"/>
        <v>-0.5</v>
      </c>
      <c r="AC124" s="17" t="str">
        <f t="shared" si="49"/>
        <v/>
      </c>
    </row>
    <row r="125" spans="1:29" outlineLevel="6" x14ac:dyDescent="0.2">
      <c r="A125" s="8" t="s">
        <v>18</v>
      </c>
      <c r="B125" s="31" t="s">
        <v>137</v>
      </c>
      <c r="C125" s="32" t="s">
        <v>168</v>
      </c>
      <c r="D125" s="20" t="s">
        <v>174</v>
      </c>
      <c r="E125" s="12">
        <v>323</v>
      </c>
      <c r="F125" s="33" t="s">
        <v>175</v>
      </c>
      <c r="G125" s="101">
        <v>8</v>
      </c>
      <c r="H125" s="101">
        <v>23</v>
      </c>
      <c r="I125" s="101">
        <v>31</v>
      </c>
      <c r="J125" s="101">
        <v>31</v>
      </c>
      <c r="K125" s="101">
        <v>30</v>
      </c>
      <c r="L125" s="101">
        <v>33</v>
      </c>
      <c r="M125" s="101">
        <v>40</v>
      </c>
      <c r="N125" s="15">
        <v>38</v>
      </c>
      <c r="O125" s="15">
        <v>43</v>
      </c>
      <c r="P125" s="15">
        <v>33</v>
      </c>
      <c r="Q125" s="15">
        <v>36</v>
      </c>
      <c r="R125" s="15">
        <v>31</v>
      </c>
      <c r="S125" s="15">
        <v>4</v>
      </c>
      <c r="T125" s="15">
        <v>3</v>
      </c>
      <c r="U125" s="15">
        <v>3</v>
      </c>
      <c r="V125" s="15">
        <v>2</v>
      </c>
      <c r="W125" s="15">
        <v>1</v>
      </c>
      <c r="X125" s="15"/>
      <c r="Y125" s="15"/>
      <c r="Z125" s="34"/>
      <c r="AA125" s="17" t="str">
        <f t="shared" si="47"/>
        <v/>
      </c>
      <c r="AB125" s="17">
        <f t="shared" si="48"/>
        <v>-1</v>
      </c>
      <c r="AC125" s="17">
        <f t="shared" si="49"/>
        <v>-1</v>
      </c>
    </row>
    <row r="126" spans="1:29" outlineLevel="5" x14ac:dyDescent="0.2">
      <c r="A126" s="8"/>
      <c r="B126" s="31"/>
      <c r="C126" s="40" t="s">
        <v>176</v>
      </c>
      <c r="D126" s="20"/>
      <c r="E126" s="12"/>
      <c r="F126" s="33"/>
      <c r="G126" s="101">
        <f t="shared" ref="G126:M126" si="81">SUBTOTAL(9,G120:G125)</f>
        <v>42</v>
      </c>
      <c r="H126" s="101">
        <f t="shared" si="81"/>
        <v>44</v>
      </c>
      <c r="I126" s="101">
        <f t="shared" si="81"/>
        <v>57</v>
      </c>
      <c r="J126" s="101">
        <f t="shared" si="81"/>
        <v>55</v>
      </c>
      <c r="K126" s="101">
        <f t="shared" si="81"/>
        <v>56</v>
      </c>
      <c r="L126" s="101">
        <f t="shared" si="81"/>
        <v>58</v>
      </c>
      <c r="M126" s="101">
        <f t="shared" si="81"/>
        <v>70</v>
      </c>
      <c r="N126" s="15">
        <f t="shared" ref="N126:X126" si="82">SUBTOTAL(9,N120:N125)</f>
        <v>80</v>
      </c>
      <c r="O126" s="15">
        <f t="shared" si="82"/>
        <v>87</v>
      </c>
      <c r="P126" s="15">
        <f t="shared" si="82"/>
        <v>86</v>
      </c>
      <c r="Q126" s="15">
        <f t="shared" si="82"/>
        <v>92</v>
      </c>
      <c r="R126" s="15">
        <f t="shared" si="82"/>
        <v>91</v>
      </c>
      <c r="S126" s="15">
        <f t="shared" si="82"/>
        <v>74</v>
      </c>
      <c r="T126" s="15">
        <f t="shared" si="82"/>
        <v>66</v>
      </c>
      <c r="U126" s="15">
        <f t="shared" si="82"/>
        <v>70</v>
      </c>
      <c r="V126" s="15">
        <f t="shared" si="82"/>
        <v>60</v>
      </c>
      <c r="W126" s="15">
        <f t="shared" si="82"/>
        <v>52</v>
      </c>
      <c r="X126" s="15">
        <f t="shared" si="82"/>
        <v>41</v>
      </c>
      <c r="Y126" s="15">
        <f t="shared" ref="Y126:Z126" si="83">SUBTOTAL(9,Y120:Y125)</f>
        <v>36</v>
      </c>
      <c r="Z126" s="34">
        <f t="shared" si="83"/>
        <v>31</v>
      </c>
      <c r="AA126" s="17">
        <f t="shared" si="47"/>
        <v>-0.1388888888888889</v>
      </c>
      <c r="AB126" s="17">
        <f t="shared" si="48"/>
        <v>-0.48333333333333334</v>
      </c>
      <c r="AC126" s="17">
        <f t="shared" si="49"/>
        <v>-0.63953488372093026</v>
      </c>
    </row>
    <row r="127" spans="1:29" s="44" customFormat="1" outlineLevel="4" x14ac:dyDescent="0.2">
      <c r="A127" s="22"/>
      <c r="B127" s="39" t="s">
        <v>167</v>
      </c>
      <c r="C127" s="40"/>
      <c r="D127" s="24"/>
      <c r="E127" s="25"/>
      <c r="F127" s="41"/>
      <c r="G127" s="102">
        <f t="shared" ref="G127:Y127" si="84">SUBTOTAL(9,G94:G125)</f>
        <v>93</v>
      </c>
      <c r="H127" s="102">
        <f t="shared" si="84"/>
        <v>109</v>
      </c>
      <c r="I127" s="102">
        <f t="shared" si="84"/>
        <v>109</v>
      </c>
      <c r="J127" s="102">
        <f t="shared" si="84"/>
        <v>111</v>
      </c>
      <c r="K127" s="102">
        <f t="shared" si="84"/>
        <v>112</v>
      </c>
      <c r="L127" s="102">
        <f t="shared" si="84"/>
        <v>119</v>
      </c>
      <c r="M127" s="102">
        <f t="shared" si="84"/>
        <v>123</v>
      </c>
      <c r="N127" s="28">
        <f t="shared" si="84"/>
        <v>139</v>
      </c>
      <c r="O127" s="28">
        <f t="shared" si="84"/>
        <v>150</v>
      </c>
      <c r="P127" s="28">
        <f t="shared" si="84"/>
        <v>161</v>
      </c>
      <c r="Q127" s="28">
        <f t="shared" si="84"/>
        <v>188</v>
      </c>
      <c r="R127" s="28">
        <f t="shared" si="84"/>
        <v>187</v>
      </c>
      <c r="S127" s="28">
        <f t="shared" si="84"/>
        <v>168</v>
      </c>
      <c r="T127" s="28">
        <f t="shared" si="84"/>
        <v>159</v>
      </c>
      <c r="U127" s="28">
        <f t="shared" si="84"/>
        <v>150</v>
      </c>
      <c r="V127" s="28">
        <f t="shared" si="84"/>
        <v>134</v>
      </c>
      <c r="W127" s="28">
        <f t="shared" si="84"/>
        <v>115</v>
      </c>
      <c r="X127" s="28">
        <f t="shared" si="84"/>
        <v>103</v>
      </c>
      <c r="Y127" s="28">
        <f t="shared" si="84"/>
        <v>94</v>
      </c>
      <c r="Z127" s="43">
        <f t="shared" ref="Z127" si="85">SUBTOTAL(9,Z94:Z125)</f>
        <v>88</v>
      </c>
      <c r="AA127" s="17">
        <f t="shared" si="47"/>
        <v>-6.3829787234042548E-2</v>
      </c>
      <c r="AB127" s="17">
        <f t="shared" si="48"/>
        <v>-0.34328358208955223</v>
      </c>
      <c r="AC127" s="17">
        <f t="shared" si="49"/>
        <v>-0.453416149068323</v>
      </c>
    </row>
    <row r="128" spans="1:29" outlineLevel="6" x14ac:dyDescent="0.2">
      <c r="A128" s="8" t="s">
        <v>18</v>
      </c>
      <c r="B128" s="31" t="s">
        <v>177</v>
      </c>
      <c r="C128" s="32" t="s">
        <v>178</v>
      </c>
      <c r="D128" s="20" t="s">
        <v>179</v>
      </c>
      <c r="E128" s="12"/>
      <c r="F128" s="33">
        <v>2209</v>
      </c>
      <c r="G128" s="101"/>
      <c r="H128" s="101"/>
      <c r="I128" s="101"/>
      <c r="J128" s="101"/>
      <c r="K128" s="101"/>
      <c r="L128" s="101"/>
      <c r="M128" s="101"/>
      <c r="N128" s="15"/>
      <c r="O128" s="15">
        <v>3</v>
      </c>
      <c r="P128" s="15">
        <v>33</v>
      </c>
      <c r="Q128" s="15">
        <v>22</v>
      </c>
      <c r="R128" s="15">
        <v>30</v>
      </c>
      <c r="S128" s="15">
        <v>24</v>
      </c>
      <c r="T128" s="15">
        <v>20</v>
      </c>
      <c r="U128" s="15">
        <v>20</v>
      </c>
      <c r="V128" s="15">
        <v>21</v>
      </c>
      <c r="W128" s="15">
        <v>20</v>
      </c>
      <c r="X128" s="15">
        <v>22</v>
      </c>
      <c r="Y128" s="15">
        <v>17</v>
      </c>
      <c r="Z128" s="34">
        <v>11</v>
      </c>
      <c r="AA128" s="17">
        <f t="shared" si="47"/>
        <v>-0.35294117647058826</v>
      </c>
      <c r="AB128" s="17">
        <f t="shared" si="48"/>
        <v>-0.47619047619047616</v>
      </c>
      <c r="AC128" s="17">
        <f t="shared" si="49"/>
        <v>-0.66666666666666663</v>
      </c>
    </row>
    <row r="129" spans="1:29" outlineLevel="6" x14ac:dyDescent="0.2">
      <c r="A129" s="8" t="s">
        <v>18</v>
      </c>
      <c r="B129" s="31" t="s">
        <v>177</v>
      </c>
      <c r="C129" s="32" t="s">
        <v>178</v>
      </c>
      <c r="D129" s="20" t="s">
        <v>180</v>
      </c>
      <c r="E129" s="12"/>
      <c r="F129" s="33">
        <v>2210</v>
      </c>
      <c r="G129" s="101">
        <v>1</v>
      </c>
      <c r="H129" s="101">
        <v>4</v>
      </c>
      <c r="I129" s="101">
        <v>27</v>
      </c>
      <c r="J129" s="101">
        <v>19</v>
      </c>
      <c r="K129" s="101">
        <v>23</v>
      </c>
      <c r="L129" s="101">
        <v>44</v>
      </c>
      <c r="M129" s="101">
        <v>41</v>
      </c>
      <c r="N129" s="15">
        <v>48</v>
      </c>
      <c r="O129" s="15">
        <v>54</v>
      </c>
      <c r="P129" s="15">
        <v>8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25</v>
      </c>
      <c r="W129" s="15"/>
      <c r="X129" s="15"/>
      <c r="Y129" s="15"/>
      <c r="Z129" s="34"/>
      <c r="AA129" s="17" t="str">
        <f t="shared" si="47"/>
        <v/>
      </c>
      <c r="AB129" s="17">
        <f t="shared" si="48"/>
        <v>-1</v>
      </c>
      <c r="AC129" s="17">
        <f t="shared" si="49"/>
        <v>-1</v>
      </c>
    </row>
    <row r="130" spans="1:29" outlineLevel="6" x14ac:dyDescent="0.2">
      <c r="A130" s="8" t="s">
        <v>18</v>
      </c>
      <c r="B130" s="31" t="s">
        <v>177</v>
      </c>
      <c r="C130" s="32" t="s">
        <v>178</v>
      </c>
      <c r="D130" s="20" t="s">
        <v>181</v>
      </c>
      <c r="E130" s="12"/>
      <c r="F130" s="33">
        <v>2290</v>
      </c>
      <c r="G130" s="101"/>
      <c r="H130" s="101"/>
      <c r="I130" s="101"/>
      <c r="J130" s="101"/>
      <c r="K130" s="101"/>
      <c r="L130" s="101"/>
      <c r="M130" s="101"/>
      <c r="N130" s="15"/>
      <c r="O130" s="15">
        <v>1</v>
      </c>
      <c r="P130" s="15">
        <v>15</v>
      </c>
      <c r="Q130" s="15">
        <v>36</v>
      </c>
      <c r="R130" s="15">
        <v>23</v>
      </c>
      <c r="S130" s="15">
        <v>27</v>
      </c>
      <c r="T130" s="15">
        <v>24</v>
      </c>
      <c r="U130" s="15">
        <v>19</v>
      </c>
      <c r="V130" s="15"/>
      <c r="W130" s="15">
        <v>33</v>
      </c>
      <c r="X130" s="15">
        <v>29</v>
      </c>
      <c r="Y130" s="15">
        <v>33</v>
      </c>
      <c r="Z130" s="34">
        <v>22</v>
      </c>
      <c r="AA130" s="17">
        <f t="shared" si="47"/>
        <v>-0.33333333333333331</v>
      </c>
      <c r="AB130" s="17" t="str">
        <f t="shared" si="48"/>
        <v/>
      </c>
      <c r="AC130" s="17">
        <f t="shared" si="49"/>
        <v>0.46666666666666667</v>
      </c>
    </row>
    <row r="131" spans="1:29" outlineLevel="6" x14ac:dyDescent="0.2">
      <c r="A131" s="8" t="s">
        <v>18</v>
      </c>
      <c r="B131" s="31" t="s">
        <v>177</v>
      </c>
      <c r="C131" s="32" t="s">
        <v>178</v>
      </c>
      <c r="D131" s="20" t="s">
        <v>498</v>
      </c>
      <c r="E131" s="12"/>
      <c r="F131" s="33">
        <v>2291</v>
      </c>
      <c r="G131" s="101"/>
      <c r="H131" s="101"/>
      <c r="I131" s="101"/>
      <c r="J131" s="101"/>
      <c r="K131" s="101"/>
      <c r="L131" s="101"/>
      <c r="M131" s="101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34">
        <v>5</v>
      </c>
      <c r="AA131" s="17"/>
      <c r="AB131" s="17"/>
      <c r="AC131" s="17"/>
    </row>
    <row r="132" spans="1:29" outlineLevel="6" x14ac:dyDescent="0.2">
      <c r="A132" s="8" t="s">
        <v>18</v>
      </c>
      <c r="B132" s="31" t="s">
        <v>177</v>
      </c>
      <c r="C132" s="32" t="s">
        <v>178</v>
      </c>
      <c r="D132" s="20" t="s">
        <v>499</v>
      </c>
      <c r="E132" s="12"/>
      <c r="F132" s="33">
        <v>2293</v>
      </c>
      <c r="G132" s="101"/>
      <c r="H132" s="101"/>
      <c r="I132" s="101"/>
      <c r="J132" s="101"/>
      <c r="K132" s="101"/>
      <c r="L132" s="101"/>
      <c r="M132" s="101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34">
        <v>7</v>
      </c>
      <c r="AA132" s="17"/>
      <c r="AB132" s="17"/>
      <c r="AC132" s="17"/>
    </row>
    <row r="133" spans="1:29" outlineLevel="5" x14ac:dyDescent="0.2">
      <c r="A133" s="8"/>
      <c r="B133" s="31"/>
      <c r="C133" s="40" t="s">
        <v>182</v>
      </c>
      <c r="D133" s="20"/>
      <c r="E133" s="12"/>
      <c r="F133" s="33"/>
      <c r="G133" s="101">
        <f t="shared" ref="G133:M133" si="86">SUBTOTAL(9,G128:G130)</f>
        <v>1</v>
      </c>
      <c r="H133" s="101">
        <f t="shared" si="86"/>
        <v>4</v>
      </c>
      <c r="I133" s="101">
        <f t="shared" si="86"/>
        <v>27</v>
      </c>
      <c r="J133" s="101">
        <f t="shared" si="86"/>
        <v>19</v>
      </c>
      <c r="K133" s="101">
        <f t="shared" si="86"/>
        <v>23</v>
      </c>
      <c r="L133" s="101">
        <f t="shared" si="86"/>
        <v>44</v>
      </c>
      <c r="M133" s="101">
        <f t="shared" si="86"/>
        <v>41</v>
      </c>
      <c r="N133" s="15">
        <f t="shared" ref="N133:X133" si="87">SUBTOTAL(9,N128:N130)</f>
        <v>48</v>
      </c>
      <c r="O133" s="15">
        <f t="shared" si="87"/>
        <v>58</v>
      </c>
      <c r="P133" s="15">
        <f t="shared" si="87"/>
        <v>56</v>
      </c>
      <c r="Q133" s="15">
        <f t="shared" si="87"/>
        <v>59</v>
      </c>
      <c r="R133" s="15">
        <f t="shared" si="87"/>
        <v>53</v>
      </c>
      <c r="S133" s="15">
        <f t="shared" si="87"/>
        <v>51</v>
      </c>
      <c r="T133" s="15">
        <f t="shared" si="87"/>
        <v>44</v>
      </c>
      <c r="U133" s="15">
        <f t="shared" si="87"/>
        <v>39</v>
      </c>
      <c r="V133" s="15">
        <f t="shared" si="87"/>
        <v>46</v>
      </c>
      <c r="W133" s="15">
        <f t="shared" si="87"/>
        <v>53</v>
      </c>
      <c r="X133" s="15">
        <f t="shared" si="87"/>
        <v>51</v>
      </c>
      <c r="Y133" s="15">
        <f t="shared" ref="Y133" si="88">SUBTOTAL(9,Y128:Y130)</f>
        <v>50</v>
      </c>
      <c r="Z133" s="34">
        <f>SUBTOTAL(9,Z128:Z132)</f>
        <v>45</v>
      </c>
      <c r="AA133" s="17">
        <f t="shared" si="47"/>
        <v>-0.1</v>
      </c>
      <c r="AB133" s="17">
        <f t="shared" si="48"/>
        <v>-2.1739130434782608E-2</v>
      </c>
      <c r="AC133" s="17">
        <f t="shared" si="49"/>
        <v>-0.19642857142857142</v>
      </c>
    </row>
    <row r="134" spans="1:29" outlineLevel="6" x14ac:dyDescent="0.2">
      <c r="A134" s="8" t="s">
        <v>18</v>
      </c>
      <c r="B134" s="31" t="s">
        <v>177</v>
      </c>
      <c r="C134" s="32" t="s">
        <v>183</v>
      </c>
      <c r="D134" s="20" t="s">
        <v>184</v>
      </c>
      <c r="E134" s="12"/>
      <c r="F134" s="33">
        <v>2201</v>
      </c>
      <c r="G134" s="101"/>
      <c r="H134" s="101"/>
      <c r="I134" s="101"/>
      <c r="J134" s="101">
        <v>1</v>
      </c>
      <c r="K134" s="101">
        <v>28</v>
      </c>
      <c r="L134" s="101">
        <v>27</v>
      </c>
      <c r="M134" s="101">
        <v>38</v>
      </c>
      <c r="N134" s="15">
        <v>31</v>
      </c>
      <c r="O134" s="15">
        <v>36</v>
      </c>
      <c r="P134" s="15">
        <v>26</v>
      </c>
      <c r="Q134" s="15">
        <v>52</v>
      </c>
      <c r="R134" s="15">
        <v>33</v>
      </c>
      <c r="S134" s="15">
        <v>20</v>
      </c>
      <c r="T134" s="15">
        <v>14</v>
      </c>
      <c r="U134" s="15">
        <v>9</v>
      </c>
      <c r="V134" s="15">
        <f>5-1</f>
        <v>4</v>
      </c>
      <c r="W134" s="15">
        <f>3-1</f>
        <v>2</v>
      </c>
      <c r="X134" s="15">
        <v>2</v>
      </c>
      <c r="Y134" s="15">
        <v>3</v>
      </c>
      <c r="Z134" s="34">
        <v>10</v>
      </c>
      <c r="AA134" s="17">
        <f t="shared" si="47"/>
        <v>2.3333333333333335</v>
      </c>
      <c r="AB134" s="17">
        <f t="shared" si="48"/>
        <v>1.5</v>
      </c>
      <c r="AC134" s="17">
        <f t="shared" si="49"/>
        <v>-0.61538461538461542</v>
      </c>
    </row>
    <row r="135" spans="1:29" outlineLevel="6" x14ac:dyDescent="0.2">
      <c r="A135" s="8" t="s">
        <v>18</v>
      </c>
      <c r="B135" s="31" t="s">
        <v>177</v>
      </c>
      <c r="C135" s="32" t="s">
        <v>183</v>
      </c>
      <c r="D135" s="20" t="s">
        <v>185</v>
      </c>
      <c r="E135" s="12"/>
      <c r="F135" s="33">
        <v>2202</v>
      </c>
      <c r="G135" s="101"/>
      <c r="H135" s="101"/>
      <c r="I135" s="101"/>
      <c r="J135" s="101">
        <v>2</v>
      </c>
      <c r="K135" s="101">
        <v>29</v>
      </c>
      <c r="L135" s="101">
        <v>62</v>
      </c>
      <c r="M135" s="101">
        <v>54</v>
      </c>
      <c r="N135" s="15">
        <v>60</v>
      </c>
      <c r="O135" s="15">
        <v>70</v>
      </c>
      <c r="P135" s="15">
        <v>49</v>
      </c>
      <c r="Q135" s="15">
        <v>48</v>
      </c>
      <c r="R135" s="15">
        <v>41</v>
      </c>
      <c r="S135" s="15">
        <v>52</v>
      </c>
      <c r="T135" s="15">
        <v>44</v>
      </c>
      <c r="U135" s="15">
        <v>19</v>
      </c>
      <c r="V135" s="15">
        <v>6</v>
      </c>
      <c r="W135" s="15"/>
      <c r="X135" s="15">
        <v>1</v>
      </c>
      <c r="Y135" s="15">
        <v>1</v>
      </c>
      <c r="Z135" s="34"/>
      <c r="AA135" s="17">
        <f t="shared" si="47"/>
        <v>-1</v>
      </c>
      <c r="AB135" s="17">
        <f t="shared" si="48"/>
        <v>-1</v>
      </c>
      <c r="AC135" s="17">
        <f t="shared" si="49"/>
        <v>-1</v>
      </c>
    </row>
    <row r="136" spans="1:29" outlineLevel="6" x14ac:dyDescent="0.2">
      <c r="A136" s="8" t="s">
        <v>18</v>
      </c>
      <c r="B136" s="31" t="s">
        <v>177</v>
      </c>
      <c r="C136" s="32" t="s">
        <v>183</v>
      </c>
      <c r="D136" s="20" t="s">
        <v>186</v>
      </c>
      <c r="E136" s="12"/>
      <c r="F136" s="33">
        <v>2239</v>
      </c>
      <c r="G136" s="101"/>
      <c r="H136" s="101"/>
      <c r="I136" s="101"/>
      <c r="J136" s="101"/>
      <c r="K136" s="101"/>
      <c r="L136" s="101"/>
      <c r="M136" s="101"/>
      <c r="N136" s="15"/>
      <c r="O136" s="15"/>
      <c r="P136" s="15"/>
      <c r="Q136" s="15"/>
      <c r="R136" s="15"/>
      <c r="S136" s="15"/>
      <c r="T136" s="15">
        <v>7</v>
      </c>
      <c r="U136" s="15">
        <v>12</v>
      </c>
      <c r="V136" s="15">
        <v>6</v>
      </c>
      <c r="W136" s="15">
        <v>9</v>
      </c>
      <c r="X136" s="15">
        <v>17</v>
      </c>
      <c r="Y136" s="15">
        <v>12</v>
      </c>
      <c r="Z136" s="34">
        <v>14</v>
      </c>
      <c r="AA136" s="17">
        <f t="shared" ref="AA136:AA200" si="89">IF(Y136&gt;0, (Z136-Y136)/Y136, "")</f>
        <v>0.16666666666666666</v>
      </c>
      <c r="AB136" s="17">
        <f t="shared" ref="AB136:AB200" si="90">IF(V136&gt;0, (Z136-V136)/V136, "")</f>
        <v>1.3333333333333333</v>
      </c>
      <c r="AC136" s="17" t="str">
        <f t="shared" ref="AC136:AC200" si="91">IF(P136&gt;0, (Z136-P136)/P136, "")</f>
        <v/>
      </c>
    </row>
    <row r="137" spans="1:29" outlineLevel="6" x14ac:dyDescent="0.2">
      <c r="A137" s="8" t="s">
        <v>18</v>
      </c>
      <c r="B137" s="31" t="s">
        <v>177</v>
      </c>
      <c r="C137" s="32" t="s">
        <v>183</v>
      </c>
      <c r="D137" s="20" t="s">
        <v>187</v>
      </c>
      <c r="E137" s="12">
        <v>306</v>
      </c>
      <c r="F137" s="33">
        <v>2240</v>
      </c>
      <c r="G137" s="101">
        <v>5</v>
      </c>
      <c r="H137" s="101">
        <v>3</v>
      </c>
      <c r="I137" s="101">
        <v>2</v>
      </c>
      <c r="J137" s="101">
        <v>4</v>
      </c>
      <c r="K137" s="101">
        <v>3</v>
      </c>
      <c r="L137" s="101">
        <v>5</v>
      </c>
      <c r="M137" s="101">
        <v>2</v>
      </c>
      <c r="N137" s="15">
        <v>8</v>
      </c>
      <c r="O137" s="15">
        <v>7</v>
      </c>
      <c r="P137" s="15">
        <v>5</v>
      </c>
      <c r="Q137" s="15">
        <v>8</v>
      </c>
      <c r="R137" s="15">
        <v>6</v>
      </c>
      <c r="S137" s="15">
        <v>9</v>
      </c>
      <c r="T137" s="15">
        <v>8</v>
      </c>
      <c r="U137" s="15">
        <v>11</v>
      </c>
      <c r="V137" s="15">
        <v>13</v>
      </c>
      <c r="W137" s="15">
        <v>9</v>
      </c>
      <c r="X137" s="15">
        <v>5</v>
      </c>
      <c r="Y137" s="15">
        <v>7</v>
      </c>
      <c r="Z137" s="34">
        <v>11</v>
      </c>
      <c r="AA137" s="17">
        <f t="shared" si="89"/>
        <v>0.5714285714285714</v>
      </c>
      <c r="AB137" s="17">
        <f t="shared" si="90"/>
        <v>-0.15384615384615385</v>
      </c>
      <c r="AC137" s="17">
        <f t="shared" si="91"/>
        <v>1.2</v>
      </c>
    </row>
    <row r="138" spans="1:29" ht="12.75" customHeight="1" outlineLevel="6" x14ac:dyDescent="0.2">
      <c r="A138" s="8" t="s">
        <v>18</v>
      </c>
      <c r="B138" s="31" t="s">
        <v>177</v>
      </c>
      <c r="C138" s="32" t="s">
        <v>183</v>
      </c>
      <c r="D138" s="20" t="s">
        <v>188</v>
      </c>
      <c r="E138" s="12"/>
      <c r="F138" s="33">
        <v>2255</v>
      </c>
      <c r="G138" s="101">
        <v>2</v>
      </c>
      <c r="H138" s="101">
        <v>3</v>
      </c>
      <c r="I138" s="101">
        <v>2</v>
      </c>
      <c r="J138" s="101">
        <v>1</v>
      </c>
      <c r="K138" s="101"/>
      <c r="L138" s="101"/>
      <c r="M138" s="101"/>
      <c r="N138" s="15">
        <v>0</v>
      </c>
      <c r="O138" s="15">
        <v>0</v>
      </c>
      <c r="P138" s="15">
        <v>0</v>
      </c>
      <c r="Q138" s="52"/>
      <c r="R138" s="52"/>
      <c r="S138" s="52"/>
      <c r="T138" s="52"/>
      <c r="U138" s="52"/>
      <c r="V138" s="52"/>
      <c r="W138" s="52"/>
      <c r="X138" s="52"/>
      <c r="Y138" s="52"/>
      <c r="Z138" s="53"/>
      <c r="AA138" s="17" t="str">
        <f t="shared" si="89"/>
        <v/>
      </c>
      <c r="AB138" s="17" t="str">
        <f t="shared" si="90"/>
        <v/>
      </c>
      <c r="AC138" s="17" t="str">
        <f t="shared" si="91"/>
        <v/>
      </c>
    </row>
    <row r="139" spans="1:29" outlineLevel="6" x14ac:dyDescent="0.2">
      <c r="A139" s="8" t="s">
        <v>18</v>
      </c>
      <c r="B139" s="31" t="s">
        <v>177</v>
      </c>
      <c r="C139" s="32" t="s">
        <v>183</v>
      </c>
      <c r="D139" s="20" t="s">
        <v>189</v>
      </c>
      <c r="E139" s="12"/>
      <c r="F139" s="33">
        <v>2244</v>
      </c>
      <c r="G139" s="101"/>
      <c r="H139" s="101"/>
      <c r="I139" s="101"/>
      <c r="J139" s="101"/>
      <c r="K139" s="101"/>
      <c r="L139" s="101"/>
      <c r="M139" s="101"/>
      <c r="N139" s="15"/>
      <c r="O139" s="15"/>
      <c r="P139" s="15"/>
      <c r="Q139" s="15"/>
      <c r="R139" s="15"/>
      <c r="S139" s="15"/>
      <c r="T139" s="15">
        <v>4</v>
      </c>
      <c r="U139" s="15">
        <v>2</v>
      </c>
      <c r="V139" s="15"/>
      <c r="W139" s="15"/>
      <c r="X139" s="15">
        <v>1</v>
      </c>
      <c r="Y139" s="15">
        <v>5</v>
      </c>
      <c r="Z139" s="34">
        <v>5</v>
      </c>
      <c r="AA139" s="17">
        <f t="shared" si="89"/>
        <v>0</v>
      </c>
      <c r="AB139" s="17" t="str">
        <f t="shared" si="90"/>
        <v/>
      </c>
      <c r="AC139" s="17" t="str">
        <f t="shared" si="91"/>
        <v/>
      </c>
    </row>
    <row r="140" spans="1:29" outlineLevel="6" x14ac:dyDescent="0.2">
      <c r="A140" s="8" t="s">
        <v>18</v>
      </c>
      <c r="B140" s="31" t="s">
        <v>177</v>
      </c>
      <c r="C140" s="32" t="s">
        <v>183</v>
      </c>
      <c r="D140" s="20" t="s">
        <v>190</v>
      </c>
      <c r="E140" s="12">
        <v>307</v>
      </c>
      <c r="F140" s="33">
        <v>2245</v>
      </c>
      <c r="G140" s="101">
        <v>4</v>
      </c>
      <c r="H140" s="101">
        <v>3</v>
      </c>
      <c r="I140" s="101">
        <v>1</v>
      </c>
      <c r="J140" s="101">
        <v>1</v>
      </c>
      <c r="K140" s="101">
        <v>1</v>
      </c>
      <c r="L140" s="101">
        <v>1</v>
      </c>
      <c r="M140" s="101">
        <v>6</v>
      </c>
      <c r="N140" s="15">
        <v>7</v>
      </c>
      <c r="O140" s="15">
        <v>2</v>
      </c>
      <c r="P140" s="15">
        <v>3</v>
      </c>
      <c r="Q140" s="15">
        <v>1</v>
      </c>
      <c r="R140" s="15">
        <v>2</v>
      </c>
      <c r="S140" s="15">
        <v>2</v>
      </c>
      <c r="T140" s="15">
        <v>2</v>
      </c>
      <c r="U140" s="15">
        <v>3</v>
      </c>
      <c r="V140" s="15">
        <v>5</v>
      </c>
      <c r="W140" s="15">
        <v>4</v>
      </c>
      <c r="X140" s="15">
        <v>3</v>
      </c>
      <c r="Y140" s="15"/>
      <c r="Z140" s="34">
        <v>1</v>
      </c>
      <c r="AA140" s="17" t="str">
        <f t="shared" si="89"/>
        <v/>
      </c>
      <c r="AB140" s="17">
        <f t="shared" si="90"/>
        <v>-0.8</v>
      </c>
      <c r="AC140" s="17">
        <f t="shared" si="91"/>
        <v>-0.66666666666666663</v>
      </c>
    </row>
    <row r="141" spans="1:29" outlineLevel="6" x14ac:dyDescent="0.2">
      <c r="A141" s="8" t="s">
        <v>18</v>
      </c>
      <c r="B141" s="31" t="s">
        <v>177</v>
      </c>
      <c r="C141" s="32" t="s">
        <v>183</v>
      </c>
      <c r="D141" s="20" t="s">
        <v>500</v>
      </c>
      <c r="E141" s="12"/>
      <c r="F141" s="33">
        <v>2246</v>
      </c>
      <c r="G141" s="101"/>
      <c r="H141" s="101"/>
      <c r="I141" s="101"/>
      <c r="J141" s="101"/>
      <c r="K141" s="101"/>
      <c r="L141" s="101"/>
      <c r="M141" s="101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34">
        <v>2</v>
      </c>
      <c r="AA141" s="17" t="str">
        <f t="shared" si="89"/>
        <v/>
      </c>
      <c r="AB141" s="17"/>
      <c r="AC141" s="17"/>
    </row>
    <row r="142" spans="1:29" outlineLevel="6" x14ac:dyDescent="0.2">
      <c r="A142" s="8" t="s">
        <v>18</v>
      </c>
      <c r="B142" s="31" t="s">
        <v>177</v>
      </c>
      <c r="C142" s="32" t="s">
        <v>183</v>
      </c>
      <c r="D142" s="20" t="s">
        <v>191</v>
      </c>
      <c r="E142" s="12">
        <v>309</v>
      </c>
      <c r="F142" s="33">
        <v>2250</v>
      </c>
      <c r="G142" s="101">
        <v>5</v>
      </c>
      <c r="H142" s="101">
        <v>2</v>
      </c>
      <c r="I142" s="101">
        <v>2</v>
      </c>
      <c r="J142" s="101">
        <v>2</v>
      </c>
      <c r="K142" s="101">
        <v>3</v>
      </c>
      <c r="L142" s="101">
        <v>2</v>
      </c>
      <c r="M142" s="101">
        <v>5</v>
      </c>
      <c r="N142" s="15">
        <v>1</v>
      </c>
      <c r="O142" s="15">
        <v>0</v>
      </c>
      <c r="P142" s="15">
        <v>0</v>
      </c>
      <c r="Q142" s="15">
        <v>1</v>
      </c>
      <c r="R142" s="15">
        <v>1</v>
      </c>
      <c r="S142" s="15">
        <v>0</v>
      </c>
      <c r="T142" s="15">
        <v>1</v>
      </c>
      <c r="U142" s="15">
        <v>0</v>
      </c>
      <c r="V142" s="15">
        <v>1</v>
      </c>
      <c r="W142" s="15"/>
      <c r="X142" s="15"/>
      <c r="Y142" s="15"/>
      <c r="Z142" s="34"/>
      <c r="AA142" s="17" t="str">
        <f t="shared" si="89"/>
        <v/>
      </c>
      <c r="AB142" s="17">
        <f t="shared" si="90"/>
        <v>-1</v>
      </c>
      <c r="AC142" s="17" t="str">
        <f t="shared" si="91"/>
        <v/>
      </c>
    </row>
    <row r="143" spans="1:29" outlineLevel="6" x14ac:dyDescent="0.2">
      <c r="A143" s="8" t="s">
        <v>18</v>
      </c>
      <c r="B143" s="31" t="s">
        <v>177</v>
      </c>
      <c r="C143" s="32" t="s">
        <v>183</v>
      </c>
      <c r="D143" s="20" t="s">
        <v>192</v>
      </c>
      <c r="E143" s="12"/>
      <c r="F143" s="33">
        <v>2260</v>
      </c>
      <c r="G143" s="101"/>
      <c r="H143" s="101"/>
      <c r="I143" s="101"/>
      <c r="J143" s="101"/>
      <c r="K143" s="101"/>
      <c r="L143" s="101">
        <v>1</v>
      </c>
      <c r="M143" s="101">
        <v>1</v>
      </c>
      <c r="N143" s="15">
        <v>0</v>
      </c>
      <c r="O143" s="15">
        <v>1</v>
      </c>
      <c r="P143" s="15">
        <v>1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/>
      <c r="W143" s="15"/>
      <c r="X143" s="15"/>
      <c r="Y143" s="15"/>
      <c r="Z143" s="34"/>
      <c r="AA143" s="17" t="str">
        <f t="shared" si="89"/>
        <v/>
      </c>
      <c r="AB143" s="17" t="str">
        <f t="shared" si="90"/>
        <v/>
      </c>
      <c r="AC143" s="17">
        <f t="shared" si="91"/>
        <v>-1</v>
      </c>
    </row>
    <row r="144" spans="1:29" outlineLevel="6" x14ac:dyDescent="0.2">
      <c r="A144" s="8" t="s">
        <v>18</v>
      </c>
      <c r="B144" s="31" t="s">
        <v>177</v>
      </c>
      <c r="C144" s="32" t="s">
        <v>183</v>
      </c>
      <c r="D144" s="20" t="s">
        <v>193</v>
      </c>
      <c r="E144" s="12"/>
      <c r="F144" s="33">
        <v>2264</v>
      </c>
      <c r="G144" s="101"/>
      <c r="H144" s="101"/>
      <c r="I144" s="101"/>
      <c r="J144" s="101"/>
      <c r="K144" s="101"/>
      <c r="L144" s="101"/>
      <c r="M144" s="101"/>
      <c r="N144" s="15"/>
      <c r="O144" s="15"/>
      <c r="P144" s="15"/>
      <c r="Q144" s="15"/>
      <c r="R144" s="15"/>
      <c r="S144" s="15"/>
      <c r="T144" s="15">
        <v>8</v>
      </c>
      <c r="U144" s="15">
        <v>7</v>
      </c>
      <c r="V144" s="15">
        <v>6</v>
      </c>
      <c r="W144" s="15">
        <v>13</v>
      </c>
      <c r="X144" s="15">
        <v>18</v>
      </c>
      <c r="Y144" s="15">
        <v>19</v>
      </c>
      <c r="Z144" s="34">
        <v>20</v>
      </c>
      <c r="AA144" s="17">
        <f t="shared" si="89"/>
        <v>5.2631578947368418E-2</v>
      </c>
      <c r="AB144" s="17">
        <f t="shared" si="90"/>
        <v>2.3333333333333335</v>
      </c>
      <c r="AC144" s="17" t="str">
        <f t="shared" si="91"/>
        <v/>
      </c>
    </row>
    <row r="145" spans="1:29" outlineLevel="6" x14ac:dyDescent="0.2">
      <c r="A145" s="8" t="s">
        <v>18</v>
      </c>
      <c r="B145" s="31" t="s">
        <v>177</v>
      </c>
      <c r="C145" s="32" t="s">
        <v>183</v>
      </c>
      <c r="D145" s="20" t="s">
        <v>194</v>
      </c>
      <c r="E145" s="12"/>
      <c r="F145" s="33">
        <v>2265</v>
      </c>
      <c r="G145" s="101"/>
      <c r="H145" s="101"/>
      <c r="I145" s="101"/>
      <c r="J145" s="101"/>
      <c r="K145" s="101">
        <v>2</v>
      </c>
      <c r="L145" s="101">
        <v>2</v>
      </c>
      <c r="M145" s="101">
        <v>4</v>
      </c>
      <c r="N145" s="15">
        <v>4</v>
      </c>
      <c r="O145" s="15">
        <v>6</v>
      </c>
      <c r="P145" s="15">
        <v>5</v>
      </c>
      <c r="Q145" s="15">
        <v>5</v>
      </c>
      <c r="R145" s="15">
        <v>4</v>
      </c>
      <c r="S145" s="15">
        <v>1</v>
      </c>
      <c r="T145" s="15">
        <v>4</v>
      </c>
      <c r="U145" s="15">
        <v>4</v>
      </c>
      <c r="V145" s="15">
        <v>7</v>
      </c>
      <c r="W145" s="15">
        <v>5</v>
      </c>
      <c r="X145" s="15">
        <v>3</v>
      </c>
      <c r="Y145" s="15">
        <v>10</v>
      </c>
      <c r="Z145" s="34">
        <v>11</v>
      </c>
      <c r="AA145" s="17">
        <f t="shared" si="89"/>
        <v>0.1</v>
      </c>
      <c r="AB145" s="17">
        <f t="shared" si="90"/>
        <v>0.5714285714285714</v>
      </c>
      <c r="AC145" s="17">
        <f t="shared" si="91"/>
        <v>1.2</v>
      </c>
    </row>
    <row r="146" spans="1:29" outlineLevel="6" x14ac:dyDescent="0.2">
      <c r="A146" s="8" t="s">
        <v>18</v>
      </c>
      <c r="B146" s="31" t="s">
        <v>177</v>
      </c>
      <c r="C146" s="32" t="s">
        <v>183</v>
      </c>
      <c r="D146" s="20" t="s">
        <v>195</v>
      </c>
      <c r="E146" s="12"/>
      <c r="F146" s="33">
        <v>2359</v>
      </c>
      <c r="G146" s="101"/>
      <c r="H146" s="101"/>
      <c r="I146" s="101"/>
      <c r="J146" s="101"/>
      <c r="K146" s="101"/>
      <c r="L146" s="101"/>
      <c r="M146" s="101"/>
      <c r="N146" s="15"/>
      <c r="O146" s="15"/>
      <c r="P146" s="15"/>
      <c r="Q146" s="15"/>
      <c r="R146" s="15"/>
      <c r="S146" s="15"/>
      <c r="T146" s="15">
        <v>8</v>
      </c>
      <c r="U146" s="15">
        <v>14</v>
      </c>
      <c r="V146" s="15">
        <f>16-1</f>
        <v>15</v>
      </c>
      <c r="W146" s="15">
        <f>20-2</f>
        <v>18</v>
      </c>
      <c r="X146" s="15">
        <v>21</v>
      </c>
      <c r="Y146" s="15">
        <v>19</v>
      </c>
      <c r="Z146" s="34">
        <v>24</v>
      </c>
      <c r="AA146" s="17">
        <f t="shared" si="89"/>
        <v>0.26315789473684209</v>
      </c>
      <c r="AB146" s="17">
        <f t="shared" si="90"/>
        <v>0.6</v>
      </c>
      <c r="AC146" s="17" t="str">
        <f t="shared" si="91"/>
        <v/>
      </c>
    </row>
    <row r="147" spans="1:29" outlineLevel="6" x14ac:dyDescent="0.2">
      <c r="A147" s="8" t="s">
        <v>18</v>
      </c>
      <c r="B147" s="31" t="s">
        <v>177</v>
      </c>
      <c r="C147" s="32" t="s">
        <v>183</v>
      </c>
      <c r="D147" s="20" t="s">
        <v>196</v>
      </c>
      <c r="E147" s="12"/>
      <c r="F147" s="54">
        <v>2361</v>
      </c>
      <c r="G147" s="103"/>
      <c r="H147" s="103"/>
      <c r="I147" s="103"/>
      <c r="J147" s="103"/>
      <c r="K147" s="103"/>
      <c r="L147" s="103"/>
      <c r="M147" s="103"/>
      <c r="N147" s="15"/>
      <c r="O147" s="15"/>
      <c r="P147" s="15"/>
      <c r="Q147" s="15"/>
      <c r="R147" s="15"/>
      <c r="S147" s="15"/>
      <c r="T147" s="15">
        <v>17</v>
      </c>
      <c r="U147" s="15">
        <v>22</v>
      </c>
      <c r="V147" s="15">
        <v>24</v>
      </c>
      <c r="W147" s="15">
        <v>25</v>
      </c>
      <c r="X147" s="15">
        <v>32</v>
      </c>
      <c r="Y147" s="15">
        <v>29</v>
      </c>
      <c r="Z147" s="34">
        <v>29</v>
      </c>
      <c r="AA147" s="17">
        <f t="shared" si="89"/>
        <v>0</v>
      </c>
      <c r="AB147" s="17">
        <f t="shared" si="90"/>
        <v>0.20833333333333334</v>
      </c>
      <c r="AC147" s="17" t="str">
        <f t="shared" si="91"/>
        <v/>
      </c>
    </row>
    <row r="148" spans="1:29" s="51" customFormat="1" outlineLevel="6" x14ac:dyDescent="0.2">
      <c r="A148" s="8" t="s">
        <v>18</v>
      </c>
      <c r="B148" s="31" t="s">
        <v>177</v>
      </c>
      <c r="C148" s="32" t="s">
        <v>183</v>
      </c>
      <c r="D148" s="20" t="s">
        <v>197</v>
      </c>
      <c r="E148" s="12" t="s">
        <v>198</v>
      </c>
      <c r="F148" s="33" t="s">
        <v>199</v>
      </c>
      <c r="G148" s="101">
        <v>16</v>
      </c>
      <c r="H148" s="101">
        <v>46</v>
      </c>
      <c r="I148" s="101">
        <v>86</v>
      </c>
      <c r="J148" s="101">
        <v>86</v>
      </c>
      <c r="K148" s="101">
        <v>69</v>
      </c>
      <c r="L148" s="101">
        <v>47</v>
      </c>
      <c r="M148" s="101">
        <v>22</v>
      </c>
      <c r="N148" s="15">
        <v>31</v>
      </c>
      <c r="O148" s="15">
        <v>37</v>
      </c>
      <c r="P148" s="15">
        <v>42</v>
      </c>
      <c r="Q148" s="15">
        <v>24</v>
      </c>
      <c r="R148" s="15">
        <v>51</v>
      </c>
      <c r="S148" s="15">
        <v>55</v>
      </c>
      <c r="T148" s="15">
        <v>40</v>
      </c>
      <c r="U148" s="15">
        <v>30</v>
      </c>
      <c r="V148" s="15">
        <v>22</v>
      </c>
      <c r="W148" s="15">
        <f>22-1</f>
        <v>21</v>
      </c>
      <c r="X148" s="15">
        <v>17</v>
      </c>
      <c r="Y148" s="15">
        <v>16</v>
      </c>
      <c r="Z148" s="34">
        <v>9</v>
      </c>
      <c r="AA148" s="17">
        <f t="shared" si="89"/>
        <v>-0.4375</v>
      </c>
      <c r="AB148" s="17">
        <f t="shared" si="90"/>
        <v>-0.59090909090909094</v>
      </c>
      <c r="AC148" s="17">
        <f t="shared" si="91"/>
        <v>-0.7857142857142857</v>
      </c>
    </row>
    <row r="149" spans="1:29" s="51" customFormat="1" outlineLevel="6" x14ac:dyDescent="0.2">
      <c r="A149" s="8" t="s">
        <v>18</v>
      </c>
      <c r="B149" s="31" t="s">
        <v>177</v>
      </c>
      <c r="C149" s="32" t="s">
        <v>183</v>
      </c>
      <c r="D149" s="20" t="s">
        <v>200</v>
      </c>
      <c r="E149" s="12">
        <v>817</v>
      </c>
      <c r="F149" s="33" t="s">
        <v>201</v>
      </c>
      <c r="G149" s="101">
        <v>28</v>
      </c>
      <c r="H149" s="101">
        <v>30</v>
      </c>
      <c r="I149" s="101">
        <v>22</v>
      </c>
      <c r="J149" s="101">
        <v>18</v>
      </c>
      <c r="K149" s="101">
        <v>24</v>
      </c>
      <c r="L149" s="101">
        <v>23</v>
      </c>
      <c r="M149" s="101">
        <v>37</v>
      </c>
      <c r="N149" s="15">
        <v>28</v>
      </c>
      <c r="O149" s="15">
        <v>28</v>
      </c>
      <c r="P149" s="15">
        <v>16</v>
      </c>
      <c r="Q149" s="15">
        <v>4</v>
      </c>
      <c r="R149" s="15">
        <v>0</v>
      </c>
      <c r="S149" s="15">
        <v>1</v>
      </c>
      <c r="T149" s="15">
        <v>0</v>
      </c>
      <c r="U149" s="15">
        <v>0</v>
      </c>
      <c r="V149" s="15"/>
      <c r="W149" s="15"/>
      <c r="X149" s="15"/>
      <c r="Y149" s="15"/>
      <c r="Z149" s="34"/>
      <c r="AA149" s="17" t="str">
        <f t="shared" si="89"/>
        <v/>
      </c>
      <c r="AB149" s="17" t="str">
        <f t="shared" si="90"/>
        <v/>
      </c>
      <c r="AC149" s="17">
        <f t="shared" si="91"/>
        <v>-1</v>
      </c>
    </row>
    <row r="150" spans="1:29" outlineLevel="6" x14ac:dyDescent="0.2">
      <c r="A150" s="8" t="s">
        <v>18</v>
      </c>
      <c r="B150" s="31" t="s">
        <v>177</v>
      </c>
      <c r="C150" s="32" t="s">
        <v>183</v>
      </c>
      <c r="D150" s="20" t="s">
        <v>202</v>
      </c>
      <c r="E150" s="12"/>
      <c r="F150" s="55" t="s">
        <v>203</v>
      </c>
      <c r="G150" s="103"/>
      <c r="H150" s="103"/>
      <c r="I150" s="103"/>
      <c r="J150" s="103"/>
      <c r="K150" s="103"/>
      <c r="L150" s="103"/>
      <c r="M150" s="103"/>
      <c r="N150" s="15"/>
      <c r="O150" s="15"/>
      <c r="P150" s="15">
        <v>5</v>
      </c>
      <c r="Q150" s="15">
        <v>8</v>
      </c>
      <c r="R150" s="15">
        <v>11</v>
      </c>
      <c r="S150" s="15">
        <v>11</v>
      </c>
      <c r="T150" s="15">
        <v>12</v>
      </c>
      <c r="U150" s="15">
        <v>10</v>
      </c>
      <c r="V150" s="15">
        <v>14</v>
      </c>
      <c r="W150" s="15">
        <v>10</v>
      </c>
      <c r="X150" s="15">
        <v>6</v>
      </c>
      <c r="Y150" s="15">
        <v>5</v>
      </c>
      <c r="Z150" s="34">
        <v>9</v>
      </c>
      <c r="AA150" s="17">
        <f t="shared" si="89"/>
        <v>0.8</v>
      </c>
      <c r="AB150" s="17">
        <f t="shared" si="90"/>
        <v>-0.35714285714285715</v>
      </c>
      <c r="AC150" s="17">
        <f t="shared" si="91"/>
        <v>0.8</v>
      </c>
    </row>
    <row r="151" spans="1:29" outlineLevel="6" x14ac:dyDescent="0.2">
      <c r="A151" s="8" t="s">
        <v>18</v>
      </c>
      <c r="B151" s="31" t="s">
        <v>177</v>
      </c>
      <c r="C151" s="32" t="s">
        <v>183</v>
      </c>
      <c r="D151" s="20" t="s">
        <v>204</v>
      </c>
      <c r="E151" s="12"/>
      <c r="F151" s="46" t="s">
        <v>205</v>
      </c>
      <c r="G151" s="101"/>
      <c r="H151" s="101"/>
      <c r="I151" s="101"/>
      <c r="J151" s="101"/>
      <c r="K151" s="101"/>
      <c r="L151" s="101"/>
      <c r="M151" s="101"/>
      <c r="N151" s="15"/>
      <c r="O151" s="15"/>
      <c r="P151" s="15">
        <v>12</v>
      </c>
      <c r="Q151" s="15">
        <v>19</v>
      </c>
      <c r="R151" s="15">
        <v>18</v>
      </c>
      <c r="S151" s="15">
        <v>15</v>
      </c>
      <c r="T151" s="15">
        <v>7</v>
      </c>
      <c r="U151" s="15">
        <v>17</v>
      </c>
      <c r="V151" s="15">
        <v>15</v>
      </c>
      <c r="W151" s="15">
        <v>17</v>
      </c>
      <c r="X151" s="15">
        <v>10</v>
      </c>
      <c r="Y151" s="15">
        <v>8</v>
      </c>
      <c r="Z151" s="34">
        <v>10</v>
      </c>
      <c r="AA151" s="17">
        <f t="shared" si="89"/>
        <v>0.25</v>
      </c>
      <c r="AB151" s="17">
        <f t="shared" si="90"/>
        <v>-0.33333333333333331</v>
      </c>
      <c r="AC151" s="17">
        <f t="shared" si="91"/>
        <v>-0.16666666666666666</v>
      </c>
    </row>
    <row r="152" spans="1:29" outlineLevel="6" x14ac:dyDescent="0.2">
      <c r="A152" s="8" t="s">
        <v>18</v>
      </c>
      <c r="B152" s="31" t="s">
        <v>177</v>
      </c>
      <c r="C152" s="32" t="s">
        <v>183</v>
      </c>
      <c r="D152" s="20" t="s">
        <v>206</v>
      </c>
      <c r="E152" s="12"/>
      <c r="F152" s="55" t="s">
        <v>207</v>
      </c>
      <c r="G152" s="103"/>
      <c r="H152" s="103"/>
      <c r="I152" s="103"/>
      <c r="J152" s="103"/>
      <c r="K152" s="103"/>
      <c r="L152" s="103"/>
      <c r="M152" s="103"/>
      <c r="N152" s="15"/>
      <c r="O152" s="15"/>
      <c r="P152" s="15">
        <v>1</v>
      </c>
      <c r="Q152" s="15">
        <v>0</v>
      </c>
      <c r="R152" s="15">
        <v>4</v>
      </c>
      <c r="S152" s="15">
        <v>3</v>
      </c>
      <c r="T152" s="15">
        <v>3</v>
      </c>
      <c r="U152" s="15">
        <v>5</v>
      </c>
      <c r="V152" s="15">
        <v>6</v>
      </c>
      <c r="W152" s="15">
        <v>7</v>
      </c>
      <c r="X152" s="15">
        <v>5</v>
      </c>
      <c r="Y152" s="15">
        <v>3</v>
      </c>
      <c r="Z152" s="34">
        <v>2</v>
      </c>
      <c r="AA152" s="17">
        <f t="shared" si="89"/>
        <v>-0.33333333333333331</v>
      </c>
      <c r="AB152" s="17">
        <f t="shared" si="90"/>
        <v>-0.66666666666666663</v>
      </c>
      <c r="AC152" s="17">
        <f t="shared" si="91"/>
        <v>1</v>
      </c>
    </row>
    <row r="153" spans="1:29" outlineLevel="6" x14ac:dyDescent="0.2">
      <c r="A153" s="8" t="s">
        <v>18</v>
      </c>
      <c r="B153" s="31" t="s">
        <v>177</v>
      </c>
      <c r="C153" s="32" t="s">
        <v>183</v>
      </c>
      <c r="D153" s="20" t="s">
        <v>208</v>
      </c>
      <c r="E153" s="12"/>
      <c r="F153" s="46" t="s">
        <v>209</v>
      </c>
      <c r="G153" s="101"/>
      <c r="H153" s="101"/>
      <c r="I153" s="101"/>
      <c r="J153" s="101"/>
      <c r="K153" s="101"/>
      <c r="L153" s="101"/>
      <c r="M153" s="101"/>
      <c r="N153" s="15"/>
      <c r="O153" s="15"/>
      <c r="P153" s="15">
        <v>2</v>
      </c>
      <c r="Q153" s="15">
        <v>1</v>
      </c>
      <c r="R153" s="15">
        <v>1</v>
      </c>
      <c r="S153" s="15">
        <v>1</v>
      </c>
      <c r="T153" s="15">
        <v>2</v>
      </c>
      <c r="U153" s="15">
        <v>5</v>
      </c>
      <c r="V153" s="15">
        <v>5</v>
      </c>
      <c r="W153" s="15">
        <v>5</v>
      </c>
      <c r="X153" s="15">
        <v>4</v>
      </c>
      <c r="Y153" s="15">
        <v>7</v>
      </c>
      <c r="Z153" s="34">
        <v>6</v>
      </c>
      <c r="AA153" s="17">
        <f t="shared" si="89"/>
        <v>-0.14285714285714285</v>
      </c>
      <c r="AB153" s="17">
        <f t="shared" si="90"/>
        <v>0.2</v>
      </c>
      <c r="AC153" s="17">
        <f t="shared" si="91"/>
        <v>2</v>
      </c>
    </row>
    <row r="154" spans="1:29" outlineLevel="5" x14ac:dyDescent="0.2">
      <c r="A154" s="8"/>
      <c r="B154" s="31"/>
      <c r="C154" s="40" t="s">
        <v>210</v>
      </c>
      <c r="D154" s="20"/>
      <c r="E154" s="12"/>
      <c r="F154" s="46"/>
      <c r="G154" s="101">
        <f t="shared" ref="G154:M154" si="92">SUBTOTAL(9,G134:G153)</f>
        <v>60</v>
      </c>
      <c r="H154" s="101">
        <f t="shared" si="92"/>
        <v>87</v>
      </c>
      <c r="I154" s="101">
        <f t="shared" si="92"/>
        <v>115</v>
      </c>
      <c r="J154" s="101">
        <f t="shared" si="92"/>
        <v>115</v>
      </c>
      <c r="K154" s="101">
        <f t="shared" si="92"/>
        <v>159</v>
      </c>
      <c r="L154" s="101">
        <f t="shared" si="92"/>
        <v>170</v>
      </c>
      <c r="M154" s="101">
        <f t="shared" si="92"/>
        <v>169</v>
      </c>
      <c r="N154" s="15">
        <f t="shared" ref="N154:X154" si="93">SUBTOTAL(9,N134:N153)</f>
        <v>170</v>
      </c>
      <c r="O154" s="15">
        <f t="shared" si="93"/>
        <v>187</v>
      </c>
      <c r="P154" s="15">
        <f t="shared" si="93"/>
        <v>167</v>
      </c>
      <c r="Q154" s="15">
        <f t="shared" si="93"/>
        <v>171</v>
      </c>
      <c r="R154" s="15">
        <f t="shared" si="93"/>
        <v>172</v>
      </c>
      <c r="S154" s="15">
        <f t="shared" si="93"/>
        <v>170</v>
      </c>
      <c r="T154" s="15">
        <f t="shared" si="93"/>
        <v>181</v>
      </c>
      <c r="U154" s="15">
        <f t="shared" si="93"/>
        <v>170</v>
      </c>
      <c r="V154" s="15">
        <f t="shared" si="93"/>
        <v>149</v>
      </c>
      <c r="W154" s="15">
        <f t="shared" si="93"/>
        <v>145</v>
      </c>
      <c r="X154" s="15">
        <f t="shared" si="93"/>
        <v>145</v>
      </c>
      <c r="Y154" s="15">
        <f t="shared" ref="Y154:Z154" si="94">SUBTOTAL(9,Y134:Y153)</f>
        <v>144</v>
      </c>
      <c r="Z154" s="34">
        <f t="shared" si="94"/>
        <v>163</v>
      </c>
      <c r="AA154" s="17">
        <f t="shared" si="89"/>
        <v>0.13194444444444445</v>
      </c>
      <c r="AB154" s="17">
        <f t="shared" si="90"/>
        <v>9.3959731543624164E-2</v>
      </c>
      <c r="AC154" s="17">
        <f t="shared" si="91"/>
        <v>-2.3952095808383235E-2</v>
      </c>
    </row>
    <row r="155" spans="1:29" outlineLevel="6" x14ac:dyDescent="0.2">
      <c r="A155" s="8" t="s">
        <v>18</v>
      </c>
      <c r="B155" s="31" t="s">
        <v>177</v>
      </c>
      <c r="C155" s="32" t="s">
        <v>211</v>
      </c>
      <c r="D155" s="20" t="s">
        <v>212</v>
      </c>
      <c r="E155" s="12"/>
      <c r="F155" s="33">
        <v>2211</v>
      </c>
      <c r="G155" s="101">
        <v>9</v>
      </c>
      <c r="H155" s="101">
        <v>10</v>
      </c>
      <c r="I155" s="101">
        <v>16</v>
      </c>
      <c r="J155" s="101">
        <v>16</v>
      </c>
      <c r="K155" s="101">
        <v>18</v>
      </c>
      <c r="L155" s="101">
        <v>51</v>
      </c>
      <c r="M155" s="101">
        <v>59</v>
      </c>
      <c r="N155" s="15">
        <v>52</v>
      </c>
      <c r="O155" s="15">
        <v>46</v>
      </c>
      <c r="P155" s="15">
        <v>5</v>
      </c>
      <c r="Q155" s="15">
        <v>2</v>
      </c>
      <c r="R155" s="15">
        <v>1</v>
      </c>
      <c r="S155" s="15"/>
      <c r="T155" s="15">
        <v>0</v>
      </c>
      <c r="U155" s="15">
        <v>0</v>
      </c>
      <c r="V155" s="15"/>
      <c r="W155" s="15"/>
      <c r="X155" s="15"/>
      <c r="Y155" s="15"/>
      <c r="Z155" s="34"/>
      <c r="AA155" s="17" t="str">
        <f t="shared" si="89"/>
        <v/>
      </c>
      <c r="AB155" s="17" t="str">
        <f t="shared" si="90"/>
        <v/>
      </c>
      <c r="AC155" s="17">
        <f t="shared" si="91"/>
        <v>-1</v>
      </c>
    </row>
    <row r="156" spans="1:29" outlineLevel="6" x14ac:dyDescent="0.2">
      <c r="A156" s="8" t="s">
        <v>18</v>
      </c>
      <c r="B156" s="31" t="s">
        <v>177</v>
      </c>
      <c r="C156" s="32" t="s">
        <v>211</v>
      </c>
      <c r="D156" s="20" t="s">
        <v>213</v>
      </c>
      <c r="E156" s="12"/>
      <c r="F156" s="33">
        <v>2212</v>
      </c>
      <c r="G156" s="101">
        <v>2</v>
      </c>
      <c r="H156" s="101">
        <v>9</v>
      </c>
      <c r="I156" s="101">
        <v>5</v>
      </c>
      <c r="J156" s="101">
        <v>6</v>
      </c>
      <c r="K156" s="101">
        <v>6</v>
      </c>
      <c r="L156" s="101">
        <v>26</v>
      </c>
      <c r="M156" s="101">
        <v>26</v>
      </c>
      <c r="N156" s="15">
        <v>27</v>
      </c>
      <c r="O156" s="15">
        <v>28</v>
      </c>
      <c r="P156" s="15"/>
      <c r="Q156" s="15">
        <v>3</v>
      </c>
      <c r="R156" s="15"/>
      <c r="S156" s="15"/>
      <c r="T156" s="15"/>
      <c r="U156" s="15"/>
      <c r="V156" s="15">
        <v>0</v>
      </c>
      <c r="W156" s="15"/>
      <c r="X156" s="15"/>
      <c r="Y156" s="15"/>
      <c r="Z156" s="34"/>
      <c r="AA156" s="17" t="str">
        <f t="shared" si="89"/>
        <v/>
      </c>
      <c r="AB156" s="17" t="str">
        <f t="shared" si="90"/>
        <v/>
      </c>
      <c r="AC156" s="17" t="str">
        <f t="shared" si="91"/>
        <v/>
      </c>
    </row>
    <row r="157" spans="1:29" s="51" customFormat="1" outlineLevel="6" x14ac:dyDescent="0.2">
      <c r="A157" s="8" t="s">
        <v>18</v>
      </c>
      <c r="B157" s="31" t="s">
        <v>177</v>
      </c>
      <c r="C157" s="32" t="s">
        <v>211</v>
      </c>
      <c r="D157" s="20" t="s">
        <v>214</v>
      </c>
      <c r="E157" s="12"/>
      <c r="F157" s="33">
        <v>2214</v>
      </c>
      <c r="G157" s="101"/>
      <c r="H157" s="101">
        <v>6</v>
      </c>
      <c r="I157" s="101">
        <v>5</v>
      </c>
      <c r="J157" s="101">
        <v>3</v>
      </c>
      <c r="K157" s="101">
        <v>4</v>
      </c>
      <c r="L157" s="101">
        <v>10</v>
      </c>
      <c r="M157" s="101">
        <v>17</v>
      </c>
      <c r="N157" s="15">
        <v>19</v>
      </c>
      <c r="O157" s="15">
        <v>17</v>
      </c>
      <c r="P157" s="15"/>
      <c r="Q157" s="15">
        <v>3</v>
      </c>
      <c r="R157" s="15"/>
      <c r="S157" s="15"/>
      <c r="T157" s="15">
        <v>1</v>
      </c>
      <c r="U157" s="15">
        <v>0</v>
      </c>
      <c r="V157" s="15"/>
      <c r="W157" s="15"/>
      <c r="X157" s="15"/>
      <c r="Y157" s="15"/>
      <c r="Z157" s="34"/>
      <c r="AA157" s="17" t="str">
        <f t="shared" si="89"/>
        <v/>
      </c>
      <c r="AB157" s="17" t="str">
        <f t="shared" si="90"/>
        <v/>
      </c>
      <c r="AC157" s="17" t="str">
        <f t="shared" si="91"/>
        <v/>
      </c>
    </row>
    <row r="158" spans="1:29" s="51" customFormat="1" outlineLevel="6" x14ac:dyDescent="0.2">
      <c r="A158" s="8" t="s">
        <v>18</v>
      </c>
      <c r="B158" s="31" t="s">
        <v>177</v>
      </c>
      <c r="C158" s="32" t="s">
        <v>211</v>
      </c>
      <c r="D158" s="20" t="s">
        <v>215</v>
      </c>
      <c r="E158" s="12"/>
      <c r="F158" s="33">
        <v>2282</v>
      </c>
      <c r="G158" s="101"/>
      <c r="H158" s="101"/>
      <c r="I158" s="101"/>
      <c r="J158" s="101"/>
      <c r="K158" s="101"/>
      <c r="L158" s="101"/>
      <c r="M158" s="101"/>
      <c r="N158" s="15"/>
      <c r="O158" s="15"/>
      <c r="P158" s="15">
        <v>18</v>
      </c>
      <c r="Q158" s="15">
        <v>14</v>
      </c>
      <c r="R158" s="15">
        <v>8</v>
      </c>
      <c r="S158" s="15">
        <v>7</v>
      </c>
      <c r="T158" s="15">
        <v>14</v>
      </c>
      <c r="U158" s="15">
        <v>12</v>
      </c>
      <c r="V158" s="15">
        <v>11</v>
      </c>
      <c r="W158" s="15">
        <v>9</v>
      </c>
      <c r="X158" s="15">
        <v>17</v>
      </c>
      <c r="Y158" s="15">
        <v>18</v>
      </c>
      <c r="Z158" s="34">
        <v>18</v>
      </c>
      <c r="AA158" s="17">
        <f t="shared" si="89"/>
        <v>0</v>
      </c>
      <c r="AB158" s="17">
        <f t="shared" si="90"/>
        <v>0.63636363636363635</v>
      </c>
      <c r="AC158" s="17">
        <f t="shared" si="91"/>
        <v>0</v>
      </c>
    </row>
    <row r="159" spans="1:29" s="51" customFormat="1" outlineLevel="6" x14ac:dyDescent="0.2">
      <c r="A159" s="8" t="s">
        <v>18</v>
      </c>
      <c r="B159" s="31" t="s">
        <v>177</v>
      </c>
      <c r="C159" s="32" t="s">
        <v>211</v>
      </c>
      <c r="D159" s="20" t="s">
        <v>216</v>
      </c>
      <c r="E159" s="12"/>
      <c r="F159" s="33">
        <v>2283</v>
      </c>
      <c r="G159" s="101"/>
      <c r="H159" s="101"/>
      <c r="I159" s="101"/>
      <c r="J159" s="101"/>
      <c r="K159" s="101"/>
      <c r="L159" s="101"/>
      <c r="M159" s="101"/>
      <c r="N159" s="15"/>
      <c r="O159" s="15"/>
      <c r="P159" s="15">
        <v>1</v>
      </c>
      <c r="Q159" s="15">
        <v>4</v>
      </c>
      <c r="R159" s="15">
        <v>8</v>
      </c>
      <c r="S159" s="15">
        <v>12</v>
      </c>
      <c r="T159" s="15">
        <v>10</v>
      </c>
      <c r="U159" s="15">
        <v>11</v>
      </c>
      <c r="V159" s="15">
        <v>8</v>
      </c>
      <c r="W159" s="15">
        <v>11</v>
      </c>
      <c r="X159" s="15">
        <v>7</v>
      </c>
      <c r="Y159" s="15">
        <v>17</v>
      </c>
      <c r="Z159" s="34">
        <v>23</v>
      </c>
      <c r="AA159" s="17">
        <f t="shared" si="89"/>
        <v>0.35294117647058826</v>
      </c>
      <c r="AB159" s="17">
        <f t="shared" si="90"/>
        <v>1.875</v>
      </c>
      <c r="AC159" s="17">
        <f t="shared" si="91"/>
        <v>22</v>
      </c>
    </row>
    <row r="160" spans="1:29" s="51" customFormat="1" outlineLevel="6" x14ac:dyDescent="0.2">
      <c r="A160" s="8" t="s">
        <v>18</v>
      </c>
      <c r="B160" s="31" t="s">
        <v>177</v>
      </c>
      <c r="C160" s="32" t="s">
        <v>211</v>
      </c>
      <c r="D160" s="20" t="s">
        <v>217</v>
      </c>
      <c r="E160" s="12"/>
      <c r="F160" s="33">
        <v>2284</v>
      </c>
      <c r="G160" s="101"/>
      <c r="H160" s="101"/>
      <c r="I160" s="101"/>
      <c r="J160" s="101"/>
      <c r="K160" s="101"/>
      <c r="L160" s="101"/>
      <c r="M160" s="101"/>
      <c r="N160" s="15"/>
      <c r="O160" s="15"/>
      <c r="P160" s="15">
        <v>22</v>
      </c>
      <c r="Q160" s="15">
        <v>18</v>
      </c>
      <c r="R160" s="15">
        <v>12</v>
      </c>
      <c r="S160" s="15">
        <v>15</v>
      </c>
      <c r="T160" s="15">
        <v>24</v>
      </c>
      <c r="U160" s="15">
        <v>24</v>
      </c>
      <c r="V160" s="15">
        <v>21</v>
      </c>
      <c r="W160" s="15">
        <v>21</v>
      </c>
      <c r="X160" s="15">
        <v>34</v>
      </c>
      <c r="Y160" s="15">
        <v>21</v>
      </c>
      <c r="Z160" s="34">
        <v>17</v>
      </c>
      <c r="AA160" s="17">
        <f t="shared" si="89"/>
        <v>-0.19047619047619047</v>
      </c>
      <c r="AB160" s="17">
        <f t="shared" si="90"/>
        <v>-0.19047619047619047</v>
      </c>
      <c r="AC160" s="17">
        <f t="shared" si="91"/>
        <v>-0.22727272727272727</v>
      </c>
    </row>
    <row r="161" spans="1:29" s="44" customFormat="1" outlineLevel="6" x14ac:dyDescent="0.2">
      <c r="A161" s="8" t="s">
        <v>18</v>
      </c>
      <c r="B161" s="31" t="s">
        <v>177</v>
      </c>
      <c r="C161" s="32" t="s">
        <v>211</v>
      </c>
      <c r="D161" s="20" t="s">
        <v>218</v>
      </c>
      <c r="E161" s="12"/>
      <c r="F161" s="33">
        <v>2285</v>
      </c>
      <c r="G161" s="101"/>
      <c r="H161" s="101"/>
      <c r="I161" s="101"/>
      <c r="J161" s="101"/>
      <c r="K161" s="101"/>
      <c r="L161" s="101"/>
      <c r="M161" s="101"/>
      <c r="N161" s="15"/>
      <c r="O161" s="15"/>
      <c r="P161" s="15">
        <v>28</v>
      </c>
      <c r="Q161" s="15">
        <v>19</v>
      </c>
      <c r="R161" s="15">
        <v>38</v>
      </c>
      <c r="S161" s="15">
        <v>34</v>
      </c>
      <c r="T161" s="15">
        <v>29</v>
      </c>
      <c r="U161" s="15">
        <v>30</v>
      </c>
      <c r="V161" s="15">
        <v>38</v>
      </c>
      <c r="W161" s="15">
        <v>36</v>
      </c>
      <c r="X161" s="15">
        <v>23</v>
      </c>
      <c r="Y161" s="15">
        <v>28</v>
      </c>
      <c r="Z161" s="34">
        <v>35</v>
      </c>
      <c r="AA161" s="17">
        <f t="shared" si="89"/>
        <v>0.25</v>
      </c>
      <c r="AB161" s="17">
        <f t="shared" si="90"/>
        <v>-7.8947368421052627E-2</v>
      </c>
      <c r="AC161" s="17">
        <f t="shared" si="91"/>
        <v>0.25</v>
      </c>
    </row>
    <row r="162" spans="1:29" ht="12.75" customHeight="1" outlineLevel="6" x14ac:dyDescent="0.2">
      <c r="A162" s="8" t="s">
        <v>18</v>
      </c>
      <c r="B162" s="31" t="s">
        <v>177</v>
      </c>
      <c r="C162" s="32" t="s">
        <v>211</v>
      </c>
      <c r="D162" s="56" t="s">
        <v>219</v>
      </c>
      <c r="E162" s="57"/>
      <c r="F162" s="57">
        <v>2212</v>
      </c>
      <c r="G162" s="104"/>
      <c r="H162" s="104"/>
      <c r="I162" s="104"/>
      <c r="J162" s="104"/>
      <c r="K162" s="104"/>
      <c r="L162" s="104"/>
      <c r="M162" s="104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34"/>
      <c r="AA162" s="17" t="str">
        <f t="shared" si="89"/>
        <v/>
      </c>
      <c r="AB162" s="17" t="str">
        <f t="shared" si="90"/>
        <v/>
      </c>
      <c r="AC162" s="17" t="str">
        <f t="shared" si="91"/>
        <v/>
      </c>
    </row>
    <row r="163" spans="1:29" ht="12.75" customHeight="1" outlineLevel="6" x14ac:dyDescent="0.2">
      <c r="A163" s="8" t="s">
        <v>18</v>
      </c>
      <c r="B163" s="31" t="s">
        <v>177</v>
      </c>
      <c r="C163" s="32" t="s">
        <v>211</v>
      </c>
      <c r="D163" s="56" t="s">
        <v>220</v>
      </c>
      <c r="E163" s="57"/>
      <c r="F163" s="57">
        <v>2214</v>
      </c>
      <c r="G163" s="104"/>
      <c r="H163" s="104"/>
      <c r="I163" s="104"/>
      <c r="J163" s="104"/>
      <c r="K163" s="104"/>
      <c r="L163" s="104"/>
      <c r="M163" s="104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34"/>
      <c r="AA163" s="17" t="str">
        <f t="shared" si="89"/>
        <v/>
      </c>
      <c r="AB163" s="17" t="str">
        <f t="shared" si="90"/>
        <v/>
      </c>
      <c r="AC163" s="17" t="str">
        <f t="shared" si="91"/>
        <v/>
      </c>
    </row>
    <row r="164" spans="1:29" s="51" customFormat="1" outlineLevel="6" x14ac:dyDescent="0.2">
      <c r="A164" s="8" t="s">
        <v>18</v>
      </c>
      <c r="B164" s="31" t="s">
        <v>177</v>
      </c>
      <c r="C164" s="32" t="s">
        <v>211</v>
      </c>
      <c r="D164" s="20" t="s">
        <v>221</v>
      </c>
      <c r="E164" s="12"/>
      <c r="F164" s="33">
        <v>2294</v>
      </c>
      <c r="G164" s="101"/>
      <c r="H164" s="101"/>
      <c r="I164" s="101"/>
      <c r="J164" s="101"/>
      <c r="K164" s="101"/>
      <c r="L164" s="101"/>
      <c r="M164" s="101"/>
      <c r="N164" s="15"/>
      <c r="O164" s="15"/>
      <c r="P164" s="15">
        <v>39</v>
      </c>
      <c r="Q164" s="15">
        <v>21</v>
      </c>
      <c r="R164" s="15">
        <v>22</v>
      </c>
      <c r="S164" s="15">
        <v>14</v>
      </c>
      <c r="T164" s="15">
        <v>9</v>
      </c>
      <c r="U164" s="15">
        <v>9</v>
      </c>
      <c r="V164" s="15">
        <v>14</v>
      </c>
      <c r="W164" s="15">
        <v>11</v>
      </c>
      <c r="X164" s="15">
        <v>9</v>
      </c>
      <c r="Y164" s="15">
        <v>6</v>
      </c>
      <c r="Z164" s="34">
        <v>4</v>
      </c>
      <c r="AA164" s="17">
        <f t="shared" si="89"/>
        <v>-0.33333333333333331</v>
      </c>
      <c r="AB164" s="17">
        <f t="shared" si="90"/>
        <v>-0.7142857142857143</v>
      </c>
      <c r="AC164" s="17">
        <f t="shared" si="91"/>
        <v>-0.89743589743589747</v>
      </c>
    </row>
    <row r="165" spans="1:29" s="51" customFormat="1" outlineLevel="6" x14ac:dyDescent="0.2">
      <c r="A165" s="8" t="s">
        <v>18</v>
      </c>
      <c r="B165" s="31" t="s">
        <v>177</v>
      </c>
      <c r="C165" s="32" t="s">
        <v>211</v>
      </c>
      <c r="D165" s="20" t="s">
        <v>222</v>
      </c>
      <c r="E165" s="12"/>
      <c r="F165" s="33">
        <v>2295</v>
      </c>
      <c r="G165" s="101"/>
      <c r="H165" s="101"/>
      <c r="I165" s="101"/>
      <c r="J165" s="101"/>
      <c r="K165" s="101"/>
      <c r="L165" s="101"/>
      <c r="M165" s="101"/>
      <c r="N165" s="15"/>
      <c r="O165" s="15"/>
      <c r="P165" s="15">
        <v>4</v>
      </c>
      <c r="Q165" s="15">
        <v>5</v>
      </c>
      <c r="R165" s="15">
        <v>12</v>
      </c>
      <c r="S165" s="15">
        <v>3</v>
      </c>
      <c r="T165" s="15">
        <v>5</v>
      </c>
      <c r="U165" s="15">
        <v>9</v>
      </c>
      <c r="V165" s="15">
        <v>10</v>
      </c>
      <c r="W165" s="15">
        <v>12</v>
      </c>
      <c r="X165" s="15">
        <v>17</v>
      </c>
      <c r="Y165" s="15">
        <v>12</v>
      </c>
      <c r="Z165" s="34">
        <v>6</v>
      </c>
      <c r="AA165" s="17">
        <f t="shared" si="89"/>
        <v>-0.5</v>
      </c>
      <c r="AB165" s="17">
        <f t="shared" si="90"/>
        <v>-0.4</v>
      </c>
      <c r="AC165" s="17">
        <f t="shared" si="91"/>
        <v>0.5</v>
      </c>
    </row>
    <row r="166" spans="1:29" s="47" customFormat="1" outlineLevel="6" x14ac:dyDescent="0.2">
      <c r="A166" s="8" t="s">
        <v>18</v>
      </c>
      <c r="B166" s="31" t="s">
        <v>177</v>
      </c>
      <c r="C166" s="32" t="s">
        <v>211</v>
      </c>
      <c r="D166" s="20" t="s">
        <v>223</v>
      </c>
      <c r="E166" s="12"/>
      <c r="F166" s="33">
        <v>2296</v>
      </c>
      <c r="G166" s="101"/>
      <c r="H166" s="101"/>
      <c r="I166" s="101"/>
      <c r="J166" s="101"/>
      <c r="K166" s="101"/>
      <c r="L166" s="101"/>
      <c r="M166" s="101"/>
      <c r="N166" s="15"/>
      <c r="O166" s="15"/>
      <c r="P166" s="15">
        <v>6</v>
      </c>
      <c r="Q166" s="15">
        <v>11</v>
      </c>
      <c r="R166" s="15">
        <v>9</v>
      </c>
      <c r="S166" s="15">
        <v>12</v>
      </c>
      <c r="T166" s="15">
        <v>14</v>
      </c>
      <c r="U166" s="15">
        <v>7</v>
      </c>
      <c r="V166" s="15">
        <v>10</v>
      </c>
      <c r="W166" s="15">
        <v>10</v>
      </c>
      <c r="X166" s="15">
        <v>5</v>
      </c>
      <c r="Y166" s="15">
        <v>15</v>
      </c>
      <c r="Z166" s="34">
        <v>15</v>
      </c>
      <c r="AA166" s="17">
        <f t="shared" si="89"/>
        <v>0</v>
      </c>
      <c r="AB166" s="17">
        <f t="shared" si="90"/>
        <v>0.5</v>
      </c>
      <c r="AC166" s="17">
        <f t="shared" si="91"/>
        <v>1.5</v>
      </c>
    </row>
    <row r="167" spans="1:29" s="47" customFormat="1" outlineLevel="6" x14ac:dyDescent="0.2">
      <c r="A167" s="8" t="s">
        <v>18</v>
      </c>
      <c r="B167" s="31" t="s">
        <v>177</v>
      </c>
      <c r="C167" s="32" t="s">
        <v>211</v>
      </c>
      <c r="D167" s="20" t="s">
        <v>224</v>
      </c>
      <c r="E167" s="12">
        <v>365</v>
      </c>
      <c r="F167" s="33"/>
      <c r="G167" s="101"/>
      <c r="H167" s="101"/>
      <c r="I167" s="101"/>
      <c r="J167" s="101"/>
      <c r="K167" s="101"/>
      <c r="L167" s="101"/>
      <c r="M167" s="101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34"/>
      <c r="AA167" s="17" t="str">
        <f t="shared" si="89"/>
        <v/>
      </c>
      <c r="AB167" s="17" t="str">
        <f t="shared" si="90"/>
        <v/>
      </c>
      <c r="AC167" s="17" t="str">
        <f t="shared" si="91"/>
        <v/>
      </c>
    </row>
    <row r="168" spans="1:29" s="47" customFormat="1" outlineLevel="5" x14ac:dyDescent="0.2">
      <c r="A168" s="8"/>
      <c r="B168" s="31"/>
      <c r="C168" s="40" t="s">
        <v>225</v>
      </c>
      <c r="D168" s="20"/>
      <c r="E168" s="12"/>
      <c r="F168" s="33"/>
      <c r="G168" s="101">
        <f t="shared" ref="G168:M168" si="95">SUBTOTAL(9,G155:G167)</f>
        <v>11</v>
      </c>
      <c r="H168" s="101">
        <f t="shared" si="95"/>
        <v>25</v>
      </c>
      <c r="I168" s="101">
        <f t="shared" si="95"/>
        <v>26</v>
      </c>
      <c r="J168" s="101">
        <f t="shared" si="95"/>
        <v>25</v>
      </c>
      <c r="K168" s="101">
        <f t="shared" si="95"/>
        <v>28</v>
      </c>
      <c r="L168" s="101">
        <f t="shared" si="95"/>
        <v>87</v>
      </c>
      <c r="M168" s="101">
        <f t="shared" si="95"/>
        <v>102</v>
      </c>
      <c r="N168" s="15">
        <f t="shared" ref="N168:X168" si="96">SUBTOTAL(9,N155:N167)</f>
        <v>98</v>
      </c>
      <c r="O168" s="15">
        <f t="shared" si="96"/>
        <v>91</v>
      </c>
      <c r="P168" s="15">
        <f t="shared" si="96"/>
        <v>123</v>
      </c>
      <c r="Q168" s="15">
        <f t="shared" si="96"/>
        <v>100</v>
      </c>
      <c r="R168" s="15">
        <f t="shared" si="96"/>
        <v>110</v>
      </c>
      <c r="S168" s="15">
        <f t="shared" si="96"/>
        <v>97</v>
      </c>
      <c r="T168" s="15">
        <f t="shared" si="96"/>
        <v>106</v>
      </c>
      <c r="U168" s="15">
        <f t="shared" si="96"/>
        <v>102</v>
      </c>
      <c r="V168" s="15">
        <f t="shared" si="96"/>
        <v>112</v>
      </c>
      <c r="W168" s="15">
        <f t="shared" si="96"/>
        <v>110</v>
      </c>
      <c r="X168" s="15">
        <f t="shared" si="96"/>
        <v>112</v>
      </c>
      <c r="Y168" s="15">
        <f t="shared" ref="Y168:Z168" si="97">SUBTOTAL(9,Y155:Y167)</f>
        <v>117</v>
      </c>
      <c r="Z168" s="34">
        <f t="shared" si="97"/>
        <v>118</v>
      </c>
      <c r="AA168" s="17">
        <f t="shared" si="89"/>
        <v>8.5470085470085479E-3</v>
      </c>
      <c r="AB168" s="17">
        <f t="shared" si="90"/>
        <v>5.3571428571428568E-2</v>
      </c>
      <c r="AC168" s="17">
        <f t="shared" si="91"/>
        <v>-4.065040650406504E-2</v>
      </c>
    </row>
    <row r="169" spans="1:29" s="47" customFormat="1" outlineLevel="5" x14ac:dyDescent="0.2">
      <c r="A169" s="8" t="s">
        <v>18</v>
      </c>
      <c r="B169" s="31" t="s">
        <v>177</v>
      </c>
      <c r="C169" s="32"/>
      <c r="D169" s="20" t="s">
        <v>226</v>
      </c>
      <c r="E169" s="12">
        <v>315</v>
      </c>
      <c r="F169" s="33">
        <v>2200</v>
      </c>
      <c r="G169" s="101">
        <v>181</v>
      </c>
      <c r="H169" s="101">
        <v>166</v>
      </c>
      <c r="I169" s="101">
        <v>148</v>
      </c>
      <c r="J169" s="101">
        <v>140</v>
      </c>
      <c r="K169" s="101">
        <v>138</v>
      </c>
      <c r="L169" s="101">
        <v>43</v>
      </c>
      <c r="M169" s="101">
        <v>30</v>
      </c>
      <c r="N169" s="15">
        <v>11</v>
      </c>
      <c r="O169" s="15">
        <v>5</v>
      </c>
      <c r="P169" s="15">
        <v>2</v>
      </c>
      <c r="Q169" s="15">
        <v>1</v>
      </c>
      <c r="R169" s="15">
        <v>0</v>
      </c>
      <c r="S169" s="15">
        <v>0</v>
      </c>
      <c r="T169" s="15">
        <v>0</v>
      </c>
      <c r="U169" s="15">
        <v>0</v>
      </c>
      <c r="V169" s="15"/>
      <c r="W169" s="15"/>
      <c r="X169" s="15"/>
      <c r="Y169" s="15"/>
      <c r="Z169" s="34"/>
      <c r="AA169" s="17" t="str">
        <f t="shared" si="89"/>
        <v/>
      </c>
      <c r="AB169" s="17" t="str">
        <f t="shared" si="90"/>
        <v/>
      </c>
      <c r="AC169" s="17">
        <f t="shared" si="91"/>
        <v>-1</v>
      </c>
    </row>
    <row r="170" spans="1:29" s="48" customFormat="1" outlineLevel="4" x14ac:dyDescent="0.2">
      <c r="A170" s="22"/>
      <c r="B170" s="39" t="s">
        <v>227</v>
      </c>
      <c r="C170" s="40"/>
      <c r="D170" s="24"/>
      <c r="E170" s="25"/>
      <c r="F170" s="41"/>
      <c r="G170" s="102">
        <f t="shared" ref="G170:M170" si="98">SUBTOTAL(9,G128:G169)</f>
        <v>253</v>
      </c>
      <c r="H170" s="102">
        <f t="shared" si="98"/>
        <v>282</v>
      </c>
      <c r="I170" s="102">
        <f t="shared" si="98"/>
        <v>316</v>
      </c>
      <c r="J170" s="102">
        <f t="shared" si="98"/>
        <v>299</v>
      </c>
      <c r="K170" s="102">
        <f t="shared" si="98"/>
        <v>348</v>
      </c>
      <c r="L170" s="102">
        <f t="shared" si="98"/>
        <v>344</v>
      </c>
      <c r="M170" s="102">
        <f t="shared" si="98"/>
        <v>342</v>
      </c>
      <c r="N170" s="28">
        <f t="shared" ref="N170:X170" si="99">SUBTOTAL(9,N128:N169)</f>
        <v>327</v>
      </c>
      <c r="O170" s="28">
        <f t="shared" si="99"/>
        <v>341</v>
      </c>
      <c r="P170" s="28">
        <f t="shared" si="99"/>
        <v>348</v>
      </c>
      <c r="Q170" s="28">
        <f t="shared" si="99"/>
        <v>331</v>
      </c>
      <c r="R170" s="28">
        <f t="shared" si="99"/>
        <v>335</v>
      </c>
      <c r="S170" s="28">
        <f t="shared" si="99"/>
        <v>318</v>
      </c>
      <c r="T170" s="28">
        <f t="shared" si="99"/>
        <v>331</v>
      </c>
      <c r="U170" s="28">
        <f t="shared" si="99"/>
        <v>311</v>
      </c>
      <c r="V170" s="28">
        <f t="shared" si="99"/>
        <v>307</v>
      </c>
      <c r="W170" s="28">
        <f t="shared" si="99"/>
        <v>308</v>
      </c>
      <c r="X170" s="28">
        <f t="shared" si="99"/>
        <v>308</v>
      </c>
      <c r="Y170" s="28">
        <f t="shared" ref="Y170:Z170" si="100">SUBTOTAL(9,Y128:Y169)</f>
        <v>311</v>
      </c>
      <c r="Z170" s="43">
        <f t="shared" si="100"/>
        <v>326</v>
      </c>
      <c r="AA170" s="17">
        <f t="shared" si="89"/>
        <v>4.8231511254019289E-2</v>
      </c>
      <c r="AB170" s="17">
        <f t="shared" si="90"/>
        <v>6.1889250814332247E-2</v>
      </c>
      <c r="AC170" s="17">
        <f t="shared" si="91"/>
        <v>-6.3218390804597707E-2</v>
      </c>
    </row>
    <row r="171" spans="1:29" s="47" customFormat="1" outlineLevel="6" x14ac:dyDescent="0.2">
      <c r="A171" s="8" t="s">
        <v>18</v>
      </c>
      <c r="B171" s="31" t="s">
        <v>228</v>
      </c>
      <c r="C171" s="32" t="s">
        <v>228</v>
      </c>
      <c r="D171" s="20" t="s">
        <v>229</v>
      </c>
      <c r="E171" s="12">
        <v>617</v>
      </c>
      <c r="F171" s="33">
        <v>2375</v>
      </c>
      <c r="G171" s="101">
        <v>17</v>
      </c>
      <c r="H171" s="101">
        <v>19</v>
      </c>
      <c r="I171" s="101">
        <v>23</v>
      </c>
      <c r="J171" s="101">
        <v>34</v>
      </c>
      <c r="K171" s="101">
        <v>22</v>
      </c>
      <c r="L171" s="101">
        <v>19</v>
      </c>
      <c r="M171" s="101">
        <v>32</v>
      </c>
      <c r="N171" s="15">
        <v>29</v>
      </c>
      <c r="O171" s="15">
        <v>22</v>
      </c>
      <c r="P171" s="15">
        <v>29</v>
      </c>
      <c r="Q171" s="15">
        <v>37</v>
      </c>
      <c r="R171" s="15">
        <v>39</v>
      </c>
      <c r="S171" s="15">
        <v>39</v>
      </c>
      <c r="T171" s="15">
        <v>38</v>
      </c>
      <c r="U171" s="15">
        <v>33</v>
      </c>
      <c r="V171" s="15">
        <f>32-2</f>
        <v>30</v>
      </c>
      <c r="W171" s="15">
        <v>28</v>
      </c>
      <c r="X171" s="15">
        <v>31</v>
      </c>
      <c r="Y171" s="15">
        <v>28</v>
      </c>
      <c r="Z171" s="34">
        <v>31</v>
      </c>
      <c r="AA171" s="17">
        <f t="shared" si="89"/>
        <v>0.10714285714285714</v>
      </c>
      <c r="AB171" s="17">
        <f t="shared" si="90"/>
        <v>3.3333333333333333E-2</v>
      </c>
      <c r="AC171" s="17">
        <f t="shared" si="91"/>
        <v>6.8965517241379309E-2</v>
      </c>
    </row>
    <row r="172" spans="1:29" s="47" customFormat="1" outlineLevel="6" x14ac:dyDescent="0.2">
      <c r="A172" s="8" t="s">
        <v>18</v>
      </c>
      <c r="B172" s="31" t="s">
        <v>228</v>
      </c>
      <c r="C172" s="32" t="s">
        <v>228</v>
      </c>
      <c r="D172" s="20" t="s">
        <v>230</v>
      </c>
      <c r="E172" s="12"/>
      <c r="F172" s="33">
        <v>2380</v>
      </c>
      <c r="G172" s="101"/>
      <c r="H172" s="101"/>
      <c r="I172" s="101"/>
      <c r="J172" s="101"/>
      <c r="K172" s="101"/>
      <c r="L172" s="101"/>
      <c r="M172" s="101"/>
      <c r="N172" s="15"/>
      <c r="O172" s="15"/>
      <c r="P172" s="15"/>
      <c r="Q172" s="15"/>
      <c r="R172" s="15">
        <v>1</v>
      </c>
      <c r="S172" s="15">
        <v>1</v>
      </c>
      <c r="T172" s="15">
        <v>1</v>
      </c>
      <c r="U172" s="15">
        <v>0</v>
      </c>
      <c r="V172" s="15"/>
      <c r="W172" s="15"/>
      <c r="X172" s="15"/>
      <c r="Y172" s="15"/>
      <c r="Z172" s="34"/>
      <c r="AA172" s="17" t="str">
        <f t="shared" si="89"/>
        <v/>
      </c>
      <c r="AB172" s="17" t="str">
        <f t="shared" si="90"/>
        <v/>
      </c>
      <c r="AC172" s="17" t="str">
        <f t="shared" si="91"/>
        <v/>
      </c>
    </row>
    <row r="173" spans="1:29" outlineLevel="6" x14ac:dyDescent="0.2">
      <c r="A173" s="8" t="s">
        <v>18</v>
      </c>
      <c r="B173" s="31" t="s">
        <v>228</v>
      </c>
      <c r="C173" s="32" t="s">
        <v>228</v>
      </c>
      <c r="D173" s="20" t="s">
        <v>231</v>
      </c>
      <c r="E173" s="12"/>
      <c r="F173" s="33">
        <v>2385</v>
      </c>
      <c r="G173" s="101"/>
      <c r="H173" s="101"/>
      <c r="I173" s="101"/>
      <c r="J173" s="101"/>
      <c r="K173" s="101"/>
      <c r="L173" s="101"/>
      <c r="M173" s="101"/>
      <c r="N173" s="15"/>
      <c r="O173" s="15"/>
      <c r="P173" s="15"/>
      <c r="Q173" s="15"/>
      <c r="R173" s="15"/>
      <c r="S173" s="15">
        <v>1</v>
      </c>
      <c r="T173" s="15">
        <v>1</v>
      </c>
      <c r="U173" s="15">
        <v>0</v>
      </c>
      <c r="V173" s="15"/>
      <c r="W173" s="15"/>
      <c r="X173" s="15"/>
      <c r="Y173" s="15"/>
      <c r="Z173" s="34"/>
      <c r="AA173" s="17" t="str">
        <f t="shared" si="89"/>
        <v/>
      </c>
      <c r="AB173" s="17" t="str">
        <f t="shared" si="90"/>
        <v/>
      </c>
      <c r="AC173" s="17" t="str">
        <f t="shared" si="91"/>
        <v/>
      </c>
    </row>
    <row r="174" spans="1:29" s="44" customFormat="1" outlineLevel="4" x14ac:dyDescent="0.2">
      <c r="A174" s="22"/>
      <c r="B174" s="39" t="s">
        <v>232</v>
      </c>
      <c r="C174" s="40"/>
      <c r="D174" s="24"/>
      <c r="E174" s="25"/>
      <c r="F174" s="41"/>
      <c r="G174" s="102">
        <f t="shared" ref="G174:M174" si="101">SUBTOTAL(9,G171:G173)</f>
        <v>17</v>
      </c>
      <c r="H174" s="102">
        <f t="shared" si="101"/>
        <v>19</v>
      </c>
      <c r="I174" s="102">
        <f t="shared" si="101"/>
        <v>23</v>
      </c>
      <c r="J174" s="102">
        <f t="shared" si="101"/>
        <v>34</v>
      </c>
      <c r="K174" s="102">
        <f t="shared" si="101"/>
        <v>22</v>
      </c>
      <c r="L174" s="102">
        <f t="shared" si="101"/>
        <v>19</v>
      </c>
      <c r="M174" s="102">
        <f t="shared" si="101"/>
        <v>32</v>
      </c>
      <c r="N174" s="28">
        <f t="shared" ref="N174:X174" si="102">SUBTOTAL(9,N171:N173)</f>
        <v>29</v>
      </c>
      <c r="O174" s="28">
        <f t="shared" si="102"/>
        <v>22</v>
      </c>
      <c r="P174" s="28">
        <f t="shared" si="102"/>
        <v>29</v>
      </c>
      <c r="Q174" s="28">
        <f t="shared" si="102"/>
        <v>37</v>
      </c>
      <c r="R174" s="28">
        <f t="shared" si="102"/>
        <v>40</v>
      </c>
      <c r="S174" s="28">
        <f t="shared" si="102"/>
        <v>41</v>
      </c>
      <c r="T174" s="28">
        <f t="shared" si="102"/>
        <v>40</v>
      </c>
      <c r="U174" s="28">
        <f t="shared" si="102"/>
        <v>33</v>
      </c>
      <c r="V174" s="28">
        <f t="shared" si="102"/>
        <v>30</v>
      </c>
      <c r="W174" s="28">
        <f t="shared" si="102"/>
        <v>28</v>
      </c>
      <c r="X174" s="28">
        <f t="shared" si="102"/>
        <v>31</v>
      </c>
      <c r="Y174" s="28">
        <f t="shared" ref="Y174:Z174" si="103">SUBTOTAL(9,Y171:Y173)</f>
        <v>28</v>
      </c>
      <c r="Z174" s="43">
        <f t="shared" si="103"/>
        <v>31</v>
      </c>
      <c r="AA174" s="17">
        <f t="shared" si="89"/>
        <v>0.10714285714285714</v>
      </c>
      <c r="AB174" s="17">
        <f t="shared" si="90"/>
        <v>3.3333333333333333E-2</v>
      </c>
      <c r="AC174" s="17">
        <f t="shared" si="91"/>
        <v>6.8965517241379309E-2</v>
      </c>
    </row>
    <row r="175" spans="1:29" outlineLevel="6" x14ac:dyDescent="0.2">
      <c r="A175" s="8" t="s">
        <v>18</v>
      </c>
      <c r="B175" s="31" t="s">
        <v>233</v>
      </c>
      <c r="C175" s="32" t="s">
        <v>233</v>
      </c>
      <c r="D175" s="20" t="s">
        <v>234</v>
      </c>
      <c r="E175" s="12" t="s">
        <v>235</v>
      </c>
      <c r="F175" s="33">
        <v>2405</v>
      </c>
      <c r="G175" s="101">
        <v>23</v>
      </c>
      <c r="H175" s="101">
        <v>22</v>
      </c>
      <c r="I175" s="101">
        <v>26</v>
      </c>
      <c r="J175" s="101">
        <v>22</v>
      </c>
      <c r="K175" s="101">
        <v>23</v>
      </c>
      <c r="L175" s="101">
        <v>20</v>
      </c>
      <c r="M175" s="101">
        <v>20</v>
      </c>
      <c r="N175" s="15">
        <v>20</v>
      </c>
      <c r="O175" s="15">
        <v>25</v>
      </c>
      <c r="P175" s="15">
        <v>31</v>
      </c>
      <c r="Q175" s="15">
        <v>31</v>
      </c>
      <c r="R175" s="15">
        <v>33</v>
      </c>
      <c r="S175" s="15">
        <v>36</v>
      </c>
      <c r="T175" s="15">
        <v>35</v>
      </c>
      <c r="U175" s="15">
        <v>32</v>
      </c>
      <c r="V175" s="15">
        <v>31</v>
      </c>
      <c r="W175" s="15">
        <v>27</v>
      </c>
      <c r="X175" s="15">
        <v>36</v>
      </c>
      <c r="Y175" s="15">
        <v>33</v>
      </c>
      <c r="Z175" s="34">
        <v>27</v>
      </c>
      <c r="AA175" s="17">
        <f t="shared" si="89"/>
        <v>-0.18181818181818182</v>
      </c>
      <c r="AB175" s="17">
        <f t="shared" si="90"/>
        <v>-0.12903225806451613</v>
      </c>
      <c r="AC175" s="17">
        <f t="shared" si="91"/>
        <v>-0.12903225806451613</v>
      </c>
    </row>
    <row r="176" spans="1:29" outlineLevel="6" x14ac:dyDescent="0.2">
      <c r="A176" s="8" t="s">
        <v>18</v>
      </c>
      <c r="B176" s="31" t="s">
        <v>233</v>
      </c>
      <c r="C176" s="32" t="s">
        <v>233</v>
      </c>
      <c r="D176" s="20" t="s">
        <v>236</v>
      </c>
      <c r="E176" s="12">
        <v>475</v>
      </c>
      <c r="F176" s="33">
        <v>2420</v>
      </c>
      <c r="G176" s="101">
        <v>10</v>
      </c>
      <c r="H176" s="101">
        <v>6</v>
      </c>
      <c r="I176" s="101">
        <v>6</v>
      </c>
      <c r="J176" s="101">
        <v>4</v>
      </c>
      <c r="K176" s="101">
        <v>5</v>
      </c>
      <c r="L176" s="101">
        <v>5</v>
      </c>
      <c r="M176" s="101">
        <v>6</v>
      </c>
      <c r="N176" s="15">
        <v>7</v>
      </c>
      <c r="O176" s="15">
        <v>12</v>
      </c>
      <c r="P176" s="15">
        <v>10</v>
      </c>
      <c r="Q176" s="15">
        <v>10</v>
      </c>
      <c r="R176" s="15">
        <v>7</v>
      </c>
      <c r="S176" s="15">
        <v>5</v>
      </c>
      <c r="T176" s="15">
        <v>8</v>
      </c>
      <c r="U176" s="15">
        <v>10</v>
      </c>
      <c r="V176" s="15">
        <f>10-2</f>
        <v>8</v>
      </c>
      <c r="W176" s="15">
        <v>3</v>
      </c>
      <c r="X176" s="15">
        <v>2</v>
      </c>
      <c r="Y176" s="15">
        <v>9</v>
      </c>
      <c r="Z176" s="34">
        <v>6</v>
      </c>
      <c r="AA176" s="17">
        <f t="shared" si="89"/>
        <v>-0.33333333333333331</v>
      </c>
      <c r="AB176" s="17">
        <f t="shared" si="90"/>
        <v>-0.25</v>
      </c>
      <c r="AC176" s="17">
        <f t="shared" si="91"/>
        <v>-0.4</v>
      </c>
    </row>
    <row r="177" spans="1:29" outlineLevel="6" x14ac:dyDescent="0.2">
      <c r="A177" s="8" t="s">
        <v>18</v>
      </c>
      <c r="B177" s="31" t="s">
        <v>233</v>
      </c>
      <c r="C177" s="32" t="s">
        <v>233</v>
      </c>
      <c r="D177" s="20" t="s">
        <v>237</v>
      </c>
      <c r="E177" s="12">
        <v>344</v>
      </c>
      <c r="F177" s="33" t="s">
        <v>238</v>
      </c>
      <c r="G177" s="101">
        <v>2</v>
      </c>
      <c r="H177" s="101">
        <v>2</v>
      </c>
      <c r="I177" s="101">
        <v>4</v>
      </c>
      <c r="J177" s="101">
        <v>2</v>
      </c>
      <c r="K177" s="101">
        <v>4</v>
      </c>
      <c r="L177" s="101">
        <v>7</v>
      </c>
      <c r="M177" s="101">
        <v>7</v>
      </c>
      <c r="N177" s="15">
        <v>10</v>
      </c>
      <c r="O177" s="15">
        <v>8</v>
      </c>
      <c r="P177" s="15">
        <v>6</v>
      </c>
      <c r="Q177" s="15">
        <v>8</v>
      </c>
      <c r="R177" s="15">
        <v>8</v>
      </c>
      <c r="S177" s="15">
        <v>9</v>
      </c>
      <c r="T177" s="15">
        <v>5</v>
      </c>
      <c r="U177" s="15">
        <v>3</v>
      </c>
      <c r="V177" s="15">
        <v>3</v>
      </c>
      <c r="W177" s="15">
        <v>5</v>
      </c>
      <c r="X177" s="15">
        <v>10</v>
      </c>
      <c r="Y177" s="15">
        <f>5+2</f>
        <v>7</v>
      </c>
      <c r="Z177" s="34">
        <v>2</v>
      </c>
      <c r="AA177" s="17">
        <f t="shared" si="89"/>
        <v>-0.7142857142857143</v>
      </c>
      <c r="AB177" s="17">
        <f t="shared" si="90"/>
        <v>-0.33333333333333331</v>
      </c>
      <c r="AC177" s="17">
        <f t="shared" si="91"/>
        <v>-0.66666666666666663</v>
      </c>
    </row>
    <row r="178" spans="1:29" s="44" customFormat="1" outlineLevel="4" x14ac:dyDescent="0.2">
      <c r="A178" s="22"/>
      <c r="B178" s="39" t="s">
        <v>239</v>
      </c>
      <c r="C178" s="40"/>
      <c r="D178" s="24"/>
      <c r="E178" s="25"/>
      <c r="F178" s="41"/>
      <c r="G178" s="102">
        <f t="shared" ref="G178:M178" si="104">SUBTOTAL(9,G175:G177)</f>
        <v>35</v>
      </c>
      <c r="H178" s="102">
        <f t="shared" si="104"/>
        <v>30</v>
      </c>
      <c r="I178" s="102">
        <f t="shared" si="104"/>
        <v>36</v>
      </c>
      <c r="J178" s="102">
        <f t="shared" si="104"/>
        <v>28</v>
      </c>
      <c r="K178" s="102">
        <f t="shared" si="104"/>
        <v>32</v>
      </c>
      <c r="L178" s="102">
        <f t="shared" si="104"/>
        <v>32</v>
      </c>
      <c r="M178" s="102">
        <f t="shared" si="104"/>
        <v>33</v>
      </c>
      <c r="N178" s="28">
        <f t="shared" ref="N178:X178" si="105">SUBTOTAL(9,N175:N177)</f>
        <v>37</v>
      </c>
      <c r="O178" s="28">
        <f t="shared" si="105"/>
        <v>45</v>
      </c>
      <c r="P178" s="28">
        <f t="shared" si="105"/>
        <v>47</v>
      </c>
      <c r="Q178" s="28">
        <f t="shared" si="105"/>
        <v>49</v>
      </c>
      <c r="R178" s="28">
        <f t="shared" si="105"/>
        <v>48</v>
      </c>
      <c r="S178" s="28">
        <f t="shared" si="105"/>
        <v>50</v>
      </c>
      <c r="T178" s="28">
        <f t="shared" si="105"/>
        <v>48</v>
      </c>
      <c r="U178" s="28">
        <f t="shared" si="105"/>
        <v>45</v>
      </c>
      <c r="V178" s="28">
        <f t="shared" si="105"/>
        <v>42</v>
      </c>
      <c r="W178" s="28">
        <f t="shared" si="105"/>
        <v>35</v>
      </c>
      <c r="X178" s="28">
        <f t="shared" si="105"/>
        <v>48</v>
      </c>
      <c r="Y178" s="28">
        <f t="shared" ref="Y178:Z178" si="106">SUBTOTAL(9,Y175:Y177)</f>
        <v>49</v>
      </c>
      <c r="Z178" s="43">
        <f t="shared" si="106"/>
        <v>35</v>
      </c>
      <c r="AA178" s="17">
        <f t="shared" si="89"/>
        <v>-0.2857142857142857</v>
      </c>
      <c r="AB178" s="17">
        <f t="shared" si="90"/>
        <v>-0.16666666666666666</v>
      </c>
      <c r="AC178" s="17">
        <f t="shared" si="91"/>
        <v>-0.25531914893617019</v>
      </c>
    </row>
    <row r="179" spans="1:29" outlineLevel="6" x14ac:dyDescent="0.2">
      <c r="A179" s="8" t="s">
        <v>18</v>
      </c>
      <c r="B179" s="31" t="s">
        <v>240</v>
      </c>
      <c r="C179" s="32" t="s">
        <v>240</v>
      </c>
      <c r="D179" s="20" t="s">
        <v>241</v>
      </c>
      <c r="E179" s="12">
        <v>670</v>
      </c>
      <c r="F179" s="33">
        <v>2500</v>
      </c>
      <c r="G179" s="101">
        <v>69</v>
      </c>
      <c r="H179" s="101">
        <v>81</v>
      </c>
      <c r="I179" s="101">
        <v>104</v>
      </c>
      <c r="J179" s="101">
        <v>129</v>
      </c>
      <c r="K179" s="101">
        <v>156</v>
      </c>
      <c r="L179" s="101">
        <v>138</v>
      </c>
      <c r="M179" s="101">
        <v>168</v>
      </c>
      <c r="N179" s="15">
        <v>136</v>
      </c>
      <c r="O179" s="15">
        <v>61</v>
      </c>
      <c r="P179" s="15">
        <v>0</v>
      </c>
      <c r="Q179" s="15">
        <v>2</v>
      </c>
      <c r="R179" s="15">
        <v>2</v>
      </c>
      <c r="S179" s="15">
        <v>0</v>
      </c>
      <c r="T179" s="15">
        <v>0</v>
      </c>
      <c r="U179" s="15">
        <v>0</v>
      </c>
      <c r="V179" s="15"/>
      <c r="W179" s="15"/>
      <c r="X179" s="15"/>
      <c r="Y179" s="15"/>
      <c r="Z179" s="34"/>
      <c r="AA179" s="17" t="str">
        <f t="shared" si="89"/>
        <v/>
      </c>
      <c r="AB179" s="17" t="str">
        <f t="shared" si="90"/>
        <v/>
      </c>
      <c r="AC179" s="17" t="str">
        <f t="shared" si="91"/>
        <v/>
      </c>
    </row>
    <row r="180" spans="1:29" outlineLevel="6" x14ac:dyDescent="0.2">
      <c r="A180" s="8" t="s">
        <v>18</v>
      </c>
      <c r="B180" s="31" t="s">
        <v>240</v>
      </c>
      <c r="C180" s="32" t="s">
        <v>240</v>
      </c>
      <c r="D180" s="20" t="s">
        <v>242</v>
      </c>
      <c r="E180" s="12"/>
      <c r="F180" s="33">
        <v>2510</v>
      </c>
      <c r="G180" s="101"/>
      <c r="H180" s="101"/>
      <c r="I180" s="101"/>
      <c r="J180" s="101"/>
      <c r="K180" s="101"/>
      <c r="L180" s="101"/>
      <c r="M180" s="101"/>
      <c r="N180" s="15"/>
      <c r="O180" s="15">
        <v>18</v>
      </c>
      <c r="P180" s="15">
        <v>43</v>
      </c>
      <c r="Q180" s="15">
        <v>69</v>
      </c>
      <c r="R180" s="15">
        <v>73</v>
      </c>
      <c r="S180" s="15">
        <v>69</v>
      </c>
      <c r="T180" s="15">
        <v>70</v>
      </c>
      <c r="U180" s="15">
        <v>80</v>
      </c>
      <c r="V180" s="15">
        <v>75</v>
      </c>
      <c r="W180" s="15">
        <f>79-1</f>
        <v>78</v>
      </c>
      <c r="X180" s="15">
        <v>79</v>
      </c>
      <c r="Y180" s="15">
        <v>64</v>
      </c>
      <c r="Z180" s="34">
        <v>59</v>
      </c>
      <c r="AA180" s="17">
        <f t="shared" si="89"/>
        <v>-7.8125E-2</v>
      </c>
      <c r="AB180" s="17">
        <f t="shared" si="90"/>
        <v>-0.21333333333333335</v>
      </c>
      <c r="AC180" s="17">
        <f t="shared" si="91"/>
        <v>0.37209302325581395</v>
      </c>
    </row>
    <row r="181" spans="1:29" outlineLevel="6" x14ac:dyDescent="0.2">
      <c r="A181" s="8" t="s">
        <v>18</v>
      </c>
      <c r="B181" s="31" t="s">
        <v>240</v>
      </c>
      <c r="C181" s="32" t="s">
        <v>240</v>
      </c>
      <c r="D181" s="20" t="s">
        <v>243</v>
      </c>
      <c r="E181" s="12">
        <v>672</v>
      </c>
      <c r="F181" s="33">
        <v>2515</v>
      </c>
      <c r="G181" s="101">
        <v>15</v>
      </c>
      <c r="H181" s="101">
        <v>37</v>
      </c>
      <c r="I181" s="101">
        <v>41</v>
      </c>
      <c r="J181" s="101">
        <v>48</v>
      </c>
      <c r="K181" s="101">
        <v>51</v>
      </c>
      <c r="L181" s="101">
        <v>70</v>
      </c>
      <c r="M181" s="101">
        <v>75</v>
      </c>
      <c r="N181" s="15">
        <v>97</v>
      </c>
      <c r="O181" s="15">
        <v>181</v>
      </c>
      <c r="P181" s="15">
        <v>216</v>
      </c>
      <c r="Q181" s="15">
        <v>219</v>
      </c>
      <c r="R181" s="15">
        <v>218</v>
      </c>
      <c r="S181" s="15">
        <v>237</v>
      </c>
      <c r="T181" s="15">
        <v>223</v>
      </c>
      <c r="U181" s="15">
        <v>174</v>
      </c>
      <c r="V181" s="15">
        <f>149-10</f>
        <v>139</v>
      </c>
      <c r="W181" s="15">
        <f>143-3</f>
        <v>140</v>
      </c>
      <c r="X181" s="15">
        <v>141</v>
      </c>
      <c r="Y181" s="15">
        <v>152</v>
      </c>
      <c r="Z181" s="34">
        <v>168</v>
      </c>
      <c r="AA181" s="17">
        <f t="shared" si="89"/>
        <v>0.10526315789473684</v>
      </c>
      <c r="AB181" s="17">
        <f t="shared" si="90"/>
        <v>0.20863309352517986</v>
      </c>
      <c r="AC181" s="17">
        <f t="shared" si="91"/>
        <v>-0.22222222222222221</v>
      </c>
    </row>
    <row r="182" spans="1:29" outlineLevel="6" x14ac:dyDescent="0.2">
      <c r="A182" s="8" t="s">
        <v>18</v>
      </c>
      <c r="B182" s="31" t="s">
        <v>240</v>
      </c>
      <c r="C182" s="32" t="s">
        <v>240</v>
      </c>
      <c r="D182" s="20" t="s">
        <v>244</v>
      </c>
      <c r="E182" s="12">
        <v>679</v>
      </c>
      <c r="F182" s="33">
        <v>2525</v>
      </c>
      <c r="G182" s="101">
        <v>15</v>
      </c>
      <c r="H182" s="101">
        <v>8</v>
      </c>
      <c r="I182" s="101">
        <v>8</v>
      </c>
      <c r="J182" s="101">
        <v>9</v>
      </c>
      <c r="K182" s="101">
        <v>13</v>
      </c>
      <c r="L182" s="101">
        <v>14</v>
      </c>
      <c r="M182" s="101">
        <v>12</v>
      </c>
      <c r="N182" s="15">
        <v>22</v>
      </c>
      <c r="O182" s="15">
        <v>6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/>
      <c r="W182" s="15"/>
      <c r="X182" s="15"/>
      <c r="Y182" s="15"/>
      <c r="Z182" s="34"/>
      <c r="AA182" s="17" t="str">
        <f t="shared" si="89"/>
        <v/>
      </c>
      <c r="AB182" s="17" t="str">
        <f t="shared" si="90"/>
        <v/>
      </c>
      <c r="AC182" s="17" t="str">
        <f t="shared" si="91"/>
        <v/>
      </c>
    </row>
    <row r="183" spans="1:29" outlineLevel="6" x14ac:dyDescent="0.2">
      <c r="A183" s="8" t="s">
        <v>18</v>
      </c>
      <c r="B183" s="31" t="s">
        <v>240</v>
      </c>
      <c r="C183" s="32" t="s">
        <v>240</v>
      </c>
      <c r="D183" s="20" t="s">
        <v>245</v>
      </c>
      <c r="E183" s="12">
        <v>677</v>
      </c>
      <c r="F183" s="33">
        <v>2530</v>
      </c>
      <c r="G183" s="101">
        <v>4</v>
      </c>
      <c r="H183" s="101">
        <v>5</v>
      </c>
      <c r="I183" s="101">
        <v>5</v>
      </c>
      <c r="J183" s="101">
        <v>6</v>
      </c>
      <c r="K183" s="101">
        <v>8</v>
      </c>
      <c r="L183" s="101">
        <v>8</v>
      </c>
      <c r="M183" s="101">
        <v>9</v>
      </c>
      <c r="N183" s="15">
        <v>7</v>
      </c>
      <c r="O183" s="15">
        <v>22</v>
      </c>
      <c r="P183" s="15">
        <v>32</v>
      </c>
      <c r="Q183" s="15">
        <v>40</v>
      </c>
      <c r="R183" s="15">
        <v>26</v>
      </c>
      <c r="S183" s="15">
        <v>32</v>
      </c>
      <c r="T183" s="15">
        <v>35</v>
      </c>
      <c r="U183" s="15">
        <v>29</v>
      </c>
      <c r="V183" s="15">
        <v>19</v>
      </c>
      <c r="W183" s="15">
        <f>32-1</f>
        <v>31</v>
      </c>
      <c r="X183" s="15">
        <v>21</v>
      </c>
      <c r="Y183" s="15">
        <v>24</v>
      </c>
      <c r="Z183" s="34">
        <v>21</v>
      </c>
      <c r="AA183" s="17">
        <f t="shared" si="89"/>
        <v>-0.125</v>
      </c>
      <c r="AB183" s="17">
        <f t="shared" si="90"/>
        <v>0.10526315789473684</v>
      </c>
      <c r="AC183" s="17">
        <f t="shared" si="91"/>
        <v>-0.34375</v>
      </c>
    </row>
    <row r="184" spans="1:29" s="44" customFormat="1" outlineLevel="4" x14ac:dyDescent="0.2">
      <c r="A184" s="22"/>
      <c r="B184" s="39" t="s">
        <v>246</v>
      </c>
      <c r="C184" s="40"/>
      <c r="D184" s="24"/>
      <c r="E184" s="25"/>
      <c r="F184" s="41"/>
      <c r="G184" s="102">
        <f t="shared" ref="G184:X184" si="107">SUBTOTAL(9,G179:G183)</f>
        <v>103</v>
      </c>
      <c r="H184" s="102">
        <f t="shared" si="107"/>
        <v>131</v>
      </c>
      <c r="I184" s="102">
        <f t="shared" si="107"/>
        <v>158</v>
      </c>
      <c r="J184" s="102">
        <f t="shared" si="107"/>
        <v>192</v>
      </c>
      <c r="K184" s="102">
        <f t="shared" si="107"/>
        <v>228</v>
      </c>
      <c r="L184" s="102">
        <f t="shared" si="107"/>
        <v>230</v>
      </c>
      <c r="M184" s="102">
        <f t="shared" si="107"/>
        <v>264</v>
      </c>
      <c r="N184" s="28">
        <f t="shared" si="107"/>
        <v>262</v>
      </c>
      <c r="O184" s="28">
        <f t="shared" si="107"/>
        <v>288</v>
      </c>
      <c r="P184" s="28">
        <f t="shared" si="107"/>
        <v>291</v>
      </c>
      <c r="Q184" s="28">
        <f t="shared" si="107"/>
        <v>330</v>
      </c>
      <c r="R184" s="28">
        <f t="shared" si="107"/>
        <v>319</v>
      </c>
      <c r="S184" s="28">
        <f t="shared" si="107"/>
        <v>338</v>
      </c>
      <c r="T184" s="28">
        <f t="shared" si="107"/>
        <v>328</v>
      </c>
      <c r="U184" s="28">
        <f t="shared" si="107"/>
        <v>283</v>
      </c>
      <c r="V184" s="28">
        <f t="shared" si="107"/>
        <v>233</v>
      </c>
      <c r="W184" s="28">
        <f t="shared" si="107"/>
        <v>249</v>
      </c>
      <c r="X184" s="28">
        <f t="shared" si="107"/>
        <v>241</v>
      </c>
      <c r="Y184" s="28">
        <f t="shared" ref="Y184:Z184" si="108">SUBTOTAL(9,Y179:Y183)</f>
        <v>240</v>
      </c>
      <c r="Z184" s="43">
        <f t="shared" si="108"/>
        <v>248</v>
      </c>
      <c r="AA184" s="17">
        <f t="shared" si="89"/>
        <v>3.3333333333333333E-2</v>
      </c>
      <c r="AB184" s="17">
        <f t="shared" si="90"/>
        <v>6.4377682403433473E-2</v>
      </c>
      <c r="AC184" s="17">
        <f t="shared" si="91"/>
        <v>-0.14776632302405499</v>
      </c>
    </row>
    <row r="185" spans="1:29" outlineLevel="6" x14ac:dyDescent="0.2">
      <c r="A185" s="8" t="s">
        <v>18</v>
      </c>
      <c r="B185" s="31" t="s">
        <v>247</v>
      </c>
      <c r="C185" s="32" t="s">
        <v>247</v>
      </c>
      <c r="D185" s="20" t="s">
        <v>248</v>
      </c>
      <c r="E185" s="12">
        <v>673</v>
      </c>
      <c r="F185" s="33">
        <v>2605</v>
      </c>
      <c r="G185" s="101">
        <v>515</v>
      </c>
      <c r="H185" s="101">
        <v>530</v>
      </c>
      <c r="I185" s="101">
        <v>555</v>
      </c>
      <c r="J185" s="101">
        <v>545</v>
      </c>
      <c r="K185" s="101">
        <v>551</v>
      </c>
      <c r="L185" s="101">
        <v>568</v>
      </c>
      <c r="M185" s="101">
        <v>616</v>
      </c>
      <c r="N185" s="15">
        <v>589</v>
      </c>
      <c r="O185" s="15">
        <v>597</v>
      </c>
      <c r="P185" s="15">
        <v>581</v>
      </c>
      <c r="Q185" s="15">
        <v>651</v>
      </c>
      <c r="R185" s="15">
        <v>701</v>
      </c>
      <c r="S185" s="15">
        <v>815</v>
      </c>
      <c r="T185" s="15">
        <v>818</v>
      </c>
      <c r="U185" s="15">
        <v>827</v>
      </c>
      <c r="V185" s="15">
        <f>852-24</f>
        <v>828</v>
      </c>
      <c r="W185" s="15">
        <f>835-19</f>
        <v>816</v>
      </c>
      <c r="X185" s="15">
        <v>771</v>
      </c>
      <c r="Y185" s="15">
        <v>685</v>
      </c>
      <c r="Z185" s="34">
        <v>678</v>
      </c>
      <c r="AA185" s="17">
        <f t="shared" si="89"/>
        <v>-1.0218978102189781E-2</v>
      </c>
      <c r="AB185" s="17">
        <f t="shared" si="90"/>
        <v>-0.18115942028985507</v>
      </c>
      <c r="AC185" s="17">
        <f t="shared" si="91"/>
        <v>0.16695352839931152</v>
      </c>
    </row>
    <row r="186" spans="1:29" outlineLevel="6" x14ac:dyDescent="0.2">
      <c r="A186" s="8" t="s">
        <v>18</v>
      </c>
      <c r="B186" s="31" t="s">
        <v>247</v>
      </c>
      <c r="C186" s="32" t="s">
        <v>247</v>
      </c>
      <c r="D186" s="20" t="s">
        <v>249</v>
      </c>
      <c r="E186" s="12"/>
      <c r="F186" s="33">
        <v>2615</v>
      </c>
      <c r="G186" s="101">
        <v>1</v>
      </c>
      <c r="H186" s="101">
        <v>1</v>
      </c>
      <c r="I186" s="101">
        <v>1</v>
      </c>
      <c r="J186" s="101"/>
      <c r="K186" s="101"/>
      <c r="L186" s="101"/>
      <c r="M186" s="101"/>
      <c r="N186" s="15">
        <v>0</v>
      </c>
      <c r="O186" s="15">
        <v>0</v>
      </c>
      <c r="P186" s="15">
        <v>1</v>
      </c>
      <c r="Q186" s="15">
        <v>0</v>
      </c>
      <c r="R186" s="15">
        <v>1</v>
      </c>
      <c r="S186" s="15">
        <v>0</v>
      </c>
      <c r="T186" s="15">
        <v>1</v>
      </c>
      <c r="U186" s="15">
        <v>0</v>
      </c>
      <c r="V186" s="15">
        <v>1</v>
      </c>
      <c r="W186" s="15">
        <v>1</v>
      </c>
      <c r="X186" s="15">
        <v>1</v>
      </c>
      <c r="Y186" s="15">
        <v>5</v>
      </c>
      <c r="Z186" s="34">
        <v>1</v>
      </c>
      <c r="AA186" s="17">
        <f t="shared" si="89"/>
        <v>-0.8</v>
      </c>
      <c r="AB186" s="17">
        <f t="shared" si="90"/>
        <v>0</v>
      </c>
      <c r="AC186" s="17">
        <f t="shared" si="91"/>
        <v>0</v>
      </c>
    </row>
    <row r="187" spans="1:29" s="44" customFormat="1" outlineLevel="4" x14ac:dyDescent="0.2">
      <c r="A187" s="22"/>
      <c r="B187" s="39" t="s">
        <v>250</v>
      </c>
      <c r="C187" s="40"/>
      <c r="D187" s="24"/>
      <c r="E187" s="25"/>
      <c r="F187" s="41"/>
      <c r="G187" s="102">
        <f t="shared" ref="G187:M187" si="109">SUBTOTAL(9,G185:G186)</f>
        <v>516</v>
      </c>
      <c r="H187" s="102">
        <f t="shared" si="109"/>
        <v>531</v>
      </c>
      <c r="I187" s="102">
        <f t="shared" si="109"/>
        <v>556</v>
      </c>
      <c r="J187" s="102">
        <f t="shared" si="109"/>
        <v>545</v>
      </c>
      <c r="K187" s="102">
        <f t="shared" si="109"/>
        <v>551</v>
      </c>
      <c r="L187" s="102">
        <f t="shared" si="109"/>
        <v>568</v>
      </c>
      <c r="M187" s="102">
        <f t="shared" si="109"/>
        <v>616</v>
      </c>
      <c r="N187" s="28">
        <f t="shared" ref="N187:X187" si="110">SUBTOTAL(9,N185:N186)</f>
        <v>589</v>
      </c>
      <c r="O187" s="28">
        <f t="shared" si="110"/>
        <v>597</v>
      </c>
      <c r="P187" s="28">
        <f t="shared" si="110"/>
        <v>582</v>
      </c>
      <c r="Q187" s="28">
        <f t="shared" si="110"/>
        <v>651</v>
      </c>
      <c r="R187" s="28">
        <f t="shared" si="110"/>
        <v>702</v>
      </c>
      <c r="S187" s="28">
        <f t="shared" si="110"/>
        <v>815</v>
      </c>
      <c r="T187" s="28">
        <f t="shared" si="110"/>
        <v>819</v>
      </c>
      <c r="U187" s="28">
        <f t="shared" si="110"/>
        <v>827</v>
      </c>
      <c r="V187" s="28">
        <f t="shared" si="110"/>
        <v>829</v>
      </c>
      <c r="W187" s="28">
        <f t="shared" si="110"/>
        <v>817</v>
      </c>
      <c r="X187" s="28">
        <f t="shared" si="110"/>
        <v>772</v>
      </c>
      <c r="Y187" s="28">
        <f t="shared" ref="Y187:Z187" si="111">SUBTOTAL(9,Y185:Y186)</f>
        <v>690</v>
      </c>
      <c r="Z187" s="43">
        <f t="shared" si="111"/>
        <v>679</v>
      </c>
      <c r="AA187" s="17">
        <f t="shared" si="89"/>
        <v>-1.5942028985507246E-2</v>
      </c>
      <c r="AB187" s="17">
        <f t="shared" si="90"/>
        <v>-0.18094089264173704</v>
      </c>
      <c r="AC187" s="17">
        <f t="shared" si="91"/>
        <v>0.16666666666666666</v>
      </c>
    </row>
    <row r="188" spans="1:29" outlineLevel="6" x14ac:dyDescent="0.2">
      <c r="A188" s="8" t="s">
        <v>18</v>
      </c>
      <c r="B188" s="9" t="s">
        <v>251</v>
      </c>
      <c r="C188" s="10" t="s">
        <v>252</v>
      </c>
      <c r="D188" s="20" t="s">
        <v>253</v>
      </c>
      <c r="E188" s="12">
        <v>676</v>
      </c>
      <c r="F188" s="33">
        <v>2805</v>
      </c>
      <c r="G188" s="101">
        <v>8</v>
      </c>
      <c r="H188" s="101">
        <v>14</v>
      </c>
      <c r="I188" s="101">
        <v>11</v>
      </c>
      <c r="J188" s="101">
        <v>12</v>
      </c>
      <c r="K188" s="101">
        <v>16</v>
      </c>
      <c r="L188" s="101">
        <v>23</v>
      </c>
      <c r="M188" s="101">
        <v>25</v>
      </c>
      <c r="N188" s="15">
        <v>12</v>
      </c>
      <c r="O188" s="15">
        <v>11</v>
      </c>
      <c r="P188" s="15">
        <v>18</v>
      </c>
      <c r="Q188" s="15">
        <v>18</v>
      </c>
      <c r="R188" s="15">
        <v>27</v>
      </c>
      <c r="S188" s="15">
        <v>28</v>
      </c>
      <c r="T188" s="15">
        <v>25</v>
      </c>
      <c r="U188" s="15">
        <v>19</v>
      </c>
      <c r="V188" s="15">
        <v>22</v>
      </c>
      <c r="W188" s="15">
        <v>16</v>
      </c>
      <c r="X188" s="15">
        <v>10</v>
      </c>
      <c r="Y188" s="15">
        <v>8</v>
      </c>
      <c r="Z188" s="34">
        <v>8</v>
      </c>
      <c r="AA188" s="17">
        <f t="shared" si="89"/>
        <v>0</v>
      </c>
      <c r="AB188" s="17">
        <f t="shared" si="90"/>
        <v>-0.63636363636363635</v>
      </c>
      <c r="AC188" s="17">
        <f t="shared" si="91"/>
        <v>-0.55555555555555558</v>
      </c>
    </row>
    <row r="189" spans="1:29" outlineLevel="6" x14ac:dyDescent="0.2">
      <c r="A189" s="8" t="s">
        <v>18</v>
      </c>
      <c r="B189" s="9" t="s">
        <v>251</v>
      </c>
      <c r="C189" s="10" t="s">
        <v>252</v>
      </c>
      <c r="D189" s="20" t="s">
        <v>254</v>
      </c>
      <c r="E189" s="12">
        <v>675</v>
      </c>
      <c r="F189" s="33">
        <v>2810</v>
      </c>
      <c r="G189" s="101">
        <v>29</v>
      </c>
      <c r="H189" s="101">
        <v>42</v>
      </c>
      <c r="I189" s="101">
        <v>42</v>
      </c>
      <c r="J189" s="101">
        <v>34</v>
      </c>
      <c r="K189" s="101">
        <v>35</v>
      </c>
      <c r="L189" s="101">
        <v>33</v>
      </c>
      <c r="M189" s="101">
        <v>31</v>
      </c>
      <c r="N189" s="15">
        <v>37</v>
      </c>
      <c r="O189" s="15">
        <v>45</v>
      </c>
      <c r="P189" s="15">
        <v>51</v>
      </c>
      <c r="Q189" s="15">
        <v>55</v>
      </c>
      <c r="R189" s="15">
        <v>58</v>
      </c>
      <c r="S189" s="15">
        <v>52</v>
      </c>
      <c r="T189" s="15">
        <v>57</v>
      </c>
      <c r="U189" s="15">
        <v>58</v>
      </c>
      <c r="V189" s="15">
        <f>61-1</f>
        <v>60</v>
      </c>
      <c r="W189" s="15">
        <v>55</v>
      </c>
      <c r="X189" s="15">
        <v>44</v>
      </c>
      <c r="Y189" s="15">
        <v>36</v>
      </c>
      <c r="Z189" s="34">
        <v>29</v>
      </c>
      <c r="AA189" s="17">
        <f t="shared" si="89"/>
        <v>-0.19444444444444445</v>
      </c>
      <c r="AB189" s="17">
        <f t="shared" si="90"/>
        <v>-0.51666666666666672</v>
      </c>
      <c r="AC189" s="17">
        <f t="shared" si="91"/>
        <v>-0.43137254901960786</v>
      </c>
    </row>
    <row r="190" spans="1:29" outlineLevel="6" x14ac:dyDescent="0.2">
      <c r="A190" s="8" t="s">
        <v>18</v>
      </c>
      <c r="B190" s="9" t="s">
        <v>251</v>
      </c>
      <c r="C190" s="10" t="s">
        <v>252</v>
      </c>
      <c r="D190" s="20" t="s">
        <v>255</v>
      </c>
      <c r="E190" s="12"/>
      <c r="F190" s="33">
        <v>2815</v>
      </c>
      <c r="G190" s="101"/>
      <c r="H190" s="101"/>
      <c r="I190" s="101"/>
      <c r="J190" s="101"/>
      <c r="K190" s="101"/>
      <c r="L190" s="101"/>
      <c r="M190" s="101"/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/>
      <c r="W190" s="15">
        <v>1</v>
      </c>
      <c r="X190" s="15">
        <v>2</v>
      </c>
      <c r="Y190" s="15"/>
      <c r="Z190" s="34"/>
      <c r="AA190" s="17" t="str">
        <f t="shared" si="89"/>
        <v/>
      </c>
      <c r="AB190" s="17" t="str">
        <f t="shared" si="90"/>
        <v/>
      </c>
      <c r="AC190" s="17" t="str">
        <f t="shared" si="91"/>
        <v/>
      </c>
    </row>
    <row r="191" spans="1:29" outlineLevel="5" x14ac:dyDescent="0.2">
      <c r="A191" s="8"/>
      <c r="B191" s="9"/>
      <c r="C191" s="19" t="s">
        <v>256</v>
      </c>
      <c r="D191" s="20"/>
      <c r="E191" s="12"/>
      <c r="F191" s="33"/>
      <c r="G191" s="101">
        <f t="shared" ref="G191:M191" si="112">SUBTOTAL(9,G188:G190)</f>
        <v>37</v>
      </c>
      <c r="H191" s="101">
        <f t="shared" si="112"/>
        <v>56</v>
      </c>
      <c r="I191" s="101">
        <f t="shared" si="112"/>
        <v>53</v>
      </c>
      <c r="J191" s="101">
        <f t="shared" si="112"/>
        <v>46</v>
      </c>
      <c r="K191" s="101">
        <f t="shared" si="112"/>
        <v>51</v>
      </c>
      <c r="L191" s="101">
        <f t="shared" si="112"/>
        <v>56</v>
      </c>
      <c r="M191" s="101">
        <f t="shared" si="112"/>
        <v>56</v>
      </c>
      <c r="N191" s="15">
        <f t="shared" ref="N191:X191" si="113">SUBTOTAL(9,N188:N190)</f>
        <v>49</v>
      </c>
      <c r="O191" s="15">
        <f t="shared" si="113"/>
        <v>56</v>
      </c>
      <c r="P191" s="15">
        <f t="shared" si="113"/>
        <v>69</v>
      </c>
      <c r="Q191" s="15">
        <f t="shared" si="113"/>
        <v>73</v>
      </c>
      <c r="R191" s="15">
        <f t="shared" si="113"/>
        <v>85</v>
      </c>
      <c r="S191" s="15">
        <f t="shared" si="113"/>
        <v>80</v>
      </c>
      <c r="T191" s="15">
        <f t="shared" si="113"/>
        <v>82</v>
      </c>
      <c r="U191" s="15">
        <f t="shared" si="113"/>
        <v>77</v>
      </c>
      <c r="V191" s="15">
        <f t="shared" si="113"/>
        <v>82</v>
      </c>
      <c r="W191" s="15">
        <f t="shared" si="113"/>
        <v>72</v>
      </c>
      <c r="X191" s="15">
        <f t="shared" si="113"/>
        <v>56</v>
      </c>
      <c r="Y191" s="15">
        <f t="shared" ref="Y191:Z191" si="114">SUBTOTAL(9,Y188:Y190)</f>
        <v>44</v>
      </c>
      <c r="Z191" s="34">
        <f t="shared" si="114"/>
        <v>37</v>
      </c>
      <c r="AA191" s="17">
        <f t="shared" si="89"/>
        <v>-0.15909090909090909</v>
      </c>
      <c r="AB191" s="17">
        <f t="shared" si="90"/>
        <v>-0.54878048780487809</v>
      </c>
      <c r="AC191" s="17">
        <f t="shared" si="91"/>
        <v>-0.46376811594202899</v>
      </c>
    </row>
    <row r="192" spans="1:29" outlineLevel="5" x14ac:dyDescent="0.2">
      <c r="A192" s="8" t="s">
        <v>18</v>
      </c>
      <c r="B192" s="9" t="s">
        <v>251</v>
      </c>
      <c r="C192" s="32" t="s">
        <v>257</v>
      </c>
      <c r="D192" s="20" t="s">
        <v>449</v>
      </c>
      <c r="E192" s="12"/>
      <c r="F192" s="33">
        <v>2875</v>
      </c>
      <c r="G192" s="101"/>
      <c r="H192" s="101"/>
      <c r="I192" s="101"/>
      <c r="J192" s="101"/>
      <c r="K192" s="101"/>
      <c r="L192" s="101"/>
      <c r="M192" s="101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>
        <v>73</v>
      </c>
      <c r="Y192" s="15">
        <v>154</v>
      </c>
      <c r="Z192" s="34">
        <v>242</v>
      </c>
      <c r="AA192" s="17">
        <f t="shared" si="89"/>
        <v>0.5714285714285714</v>
      </c>
      <c r="AB192" s="17" t="str">
        <f t="shared" si="90"/>
        <v/>
      </c>
      <c r="AC192" s="17" t="str">
        <f t="shared" si="91"/>
        <v/>
      </c>
    </row>
    <row r="193" spans="1:29" outlineLevel="6" x14ac:dyDescent="0.2">
      <c r="A193" s="8" t="s">
        <v>18</v>
      </c>
      <c r="B193" s="9" t="s">
        <v>251</v>
      </c>
      <c r="C193" s="32" t="s">
        <v>257</v>
      </c>
      <c r="D193" s="20" t="s">
        <v>258</v>
      </c>
      <c r="E193" s="12"/>
      <c r="F193" s="33">
        <v>2876</v>
      </c>
      <c r="G193" s="101"/>
      <c r="H193" s="101"/>
      <c r="I193" s="101"/>
      <c r="J193" s="101"/>
      <c r="K193" s="101"/>
      <c r="L193" s="101"/>
      <c r="M193" s="101"/>
      <c r="N193" s="15"/>
      <c r="O193" s="15"/>
      <c r="P193" s="15"/>
      <c r="Q193" s="15"/>
      <c r="R193" s="15"/>
      <c r="S193" s="15"/>
      <c r="T193" s="15">
        <v>23</v>
      </c>
      <c r="U193" s="15">
        <v>107</v>
      </c>
      <c r="V193" s="15">
        <f>138-2</f>
        <v>136</v>
      </c>
      <c r="W193" s="15">
        <f>133-2</f>
        <v>131</v>
      </c>
      <c r="X193" s="15">
        <v>113</v>
      </c>
      <c r="Y193" s="15">
        <v>61</v>
      </c>
      <c r="Z193" s="34">
        <v>32</v>
      </c>
      <c r="AA193" s="17">
        <f t="shared" si="89"/>
        <v>-0.47540983606557374</v>
      </c>
      <c r="AB193" s="17">
        <f t="shared" si="90"/>
        <v>-0.76470588235294112</v>
      </c>
      <c r="AC193" s="17" t="str">
        <f t="shared" si="91"/>
        <v/>
      </c>
    </row>
    <row r="194" spans="1:29" outlineLevel="6" x14ac:dyDescent="0.2">
      <c r="A194" s="8" t="s">
        <v>18</v>
      </c>
      <c r="B194" s="9" t="s">
        <v>251</v>
      </c>
      <c r="C194" s="32" t="s">
        <v>257</v>
      </c>
      <c r="D194" s="20" t="s">
        <v>259</v>
      </c>
      <c r="E194" s="12"/>
      <c r="F194" s="33">
        <v>2877</v>
      </c>
      <c r="G194" s="101"/>
      <c r="H194" s="101"/>
      <c r="I194" s="101"/>
      <c r="J194" s="101"/>
      <c r="K194" s="101"/>
      <c r="L194" s="101"/>
      <c r="M194" s="101"/>
      <c r="N194" s="15"/>
      <c r="O194" s="15"/>
      <c r="P194" s="15"/>
      <c r="Q194" s="15"/>
      <c r="R194" s="15"/>
      <c r="S194" s="15"/>
      <c r="T194" s="15">
        <v>10</v>
      </c>
      <c r="U194" s="15">
        <v>26</v>
      </c>
      <c r="V194" s="15">
        <v>52</v>
      </c>
      <c r="W194" s="15">
        <v>63</v>
      </c>
      <c r="X194" s="15">
        <v>55</v>
      </c>
      <c r="Y194" s="15">
        <v>24</v>
      </c>
      <c r="Z194" s="34">
        <v>9</v>
      </c>
      <c r="AA194" s="17">
        <f t="shared" si="89"/>
        <v>-0.625</v>
      </c>
      <c r="AB194" s="17">
        <f t="shared" si="90"/>
        <v>-0.82692307692307687</v>
      </c>
      <c r="AC194" s="17" t="str">
        <f t="shared" si="91"/>
        <v/>
      </c>
    </row>
    <row r="195" spans="1:29" outlineLevel="6" x14ac:dyDescent="0.2">
      <c r="A195" s="8" t="s">
        <v>18</v>
      </c>
      <c r="B195" s="9" t="s">
        <v>251</v>
      </c>
      <c r="C195" s="32" t="s">
        <v>257</v>
      </c>
      <c r="D195" s="20" t="s">
        <v>260</v>
      </c>
      <c r="E195" s="12"/>
      <c r="F195" s="33">
        <v>2878</v>
      </c>
      <c r="G195" s="101"/>
      <c r="H195" s="101"/>
      <c r="I195" s="101"/>
      <c r="J195" s="101"/>
      <c r="K195" s="101"/>
      <c r="L195" s="101"/>
      <c r="M195" s="101"/>
      <c r="N195" s="15"/>
      <c r="O195" s="15"/>
      <c r="P195" s="15"/>
      <c r="Q195" s="15"/>
      <c r="R195" s="15"/>
      <c r="S195" s="15"/>
      <c r="T195" s="15">
        <v>5</v>
      </c>
      <c r="U195" s="15">
        <v>23</v>
      </c>
      <c r="V195" s="15">
        <f>38-3</f>
        <v>35</v>
      </c>
      <c r="W195" s="15">
        <f>30-1</f>
        <v>29</v>
      </c>
      <c r="X195" s="15">
        <v>22</v>
      </c>
      <c r="Y195" s="15">
        <v>11</v>
      </c>
      <c r="Z195" s="34">
        <v>7</v>
      </c>
      <c r="AA195" s="17">
        <f t="shared" si="89"/>
        <v>-0.36363636363636365</v>
      </c>
      <c r="AB195" s="17">
        <f t="shared" si="90"/>
        <v>-0.8</v>
      </c>
      <c r="AC195" s="17" t="str">
        <f t="shared" si="91"/>
        <v/>
      </c>
    </row>
    <row r="196" spans="1:29" outlineLevel="6" x14ac:dyDescent="0.2">
      <c r="A196" s="8" t="s">
        <v>18</v>
      </c>
      <c r="B196" s="9" t="s">
        <v>251</v>
      </c>
      <c r="C196" s="32" t="s">
        <v>257</v>
      </c>
      <c r="D196" s="20" t="s">
        <v>261</v>
      </c>
      <c r="E196" s="12"/>
      <c r="F196" s="33">
        <v>2879</v>
      </c>
      <c r="G196" s="101"/>
      <c r="H196" s="101"/>
      <c r="I196" s="101"/>
      <c r="J196" s="101"/>
      <c r="K196" s="101"/>
      <c r="L196" s="101"/>
      <c r="M196" s="101"/>
      <c r="N196" s="15"/>
      <c r="O196" s="15"/>
      <c r="P196" s="15"/>
      <c r="Q196" s="15"/>
      <c r="R196" s="15"/>
      <c r="S196" s="15"/>
      <c r="T196" s="15">
        <v>8</v>
      </c>
      <c r="U196" s="15">
        <v>28</v>
      </c>
      <c r="V196" s="15">
        <f>45-2</f>
        <v>43</v>
      </c>
      <c r="W196" s="15">
        <f>33-2</f>
        <v>31</v>
      </c>
      <c r="X196" s="15">
        <v>32</v>
      </c>
      <c r="Y196" s="15">
        <v>16</v>
      </c>
      <c r="Z196" s="34">
        <v>9</v>
      </c>
      <c r="AA196" s="17">
        <f t="shared" si="89"/>
        <v>-0.4375</v>
      </c>
      <c r="AB196" s="17">
        <f t="shared" si="90"/>
        <v>-0.79069767441860461</v>
      </c>
      <c r="AC196" s="17" t="str">
        <f t="shared" si="91"/>
        <v/>
      </c>
    </row>
    <row r="197" spans="1:29" outlineLevel="6" x14ac:dyDescent="0.2">
      <c r="A197" s="8" t="s">
        <v>18</v>
      </c>
      <c r="B197" s="9" t="s">
        <v>251</v>
      </c>
      <c r="C197" s="32" t="s">
        <v>257</v>
      </c>
      <c r="D197" s="20" t="s">
        <v>262</v>
      </c>
      <c r="E197" s="12"/>
      <c r="F197" s="33">
        <v>2880</v>
      </c>
      <c r="G197" s="101"/>
      <c r="H197" s="101"/>
      <c r="I197" s="101"/>
      <c r="J197" s="101"/>
      <c r="K197" s="101"/>
      <c r="L197" s="101"/>
      <c r="M197" s="101"/>
      <c r="N197" s="15"/>
      <c r="O197" s="15"/>
      <c r="P197" s="15"/>
      <c r="Q197" s="15"/>
      <c r="R197" s="15"/>
      <c r="S197" s="15"/>
      <c r="T197" s="15">
        <v>4</v>
      </c>
      <c r="U197" s="15">
        <v>15</v>
      </c>
      <c r="V197" s="15">
        <f>20-1</f>
        <v>19</v>
      </c>
      <c r="W197" s="15">
        <v>23</v>
      </c>
      <c r="X197" s="15">
        <v>22</v>
      </c>
      <c r="Y197" s="15">
        <v>17</v>
      </c>
      <c r="Z197" s="34">
        <v>23</v>
      </c>
      <c r="AA197" s="17">
        <f t="shared" si="89"/>
        <v>0.35294117647058826</v>
      </c>
      <c r="AB197" s="17">
        <f t="shared" si="90"/>
        <v>0.21052631578947367</v>
      </c>
      <c r="AC197" s="17" t="str">
        <f t="shared" si="91"/>
        <v/>
      </c>
    </row>
    <row r="198" spans="1:29" outlineLevel="6" x14ac:dyDescent="0.2">
      <c r="A198" s="8" t="s">
        <v>18</v>
      </c>
      <c r="B198" s="9" t="s">
        <v>251</v>
      </c>
      <c r="C198" s="32" t="s">
        <v>257</v>
      </c>
      <c r="D198" s="20" t="s">
        <v>263</v>
      </c>
      <c r="E198" s="12"/>
      <c r="F198" s="33">
        <v>2881</v>
      </c>
      <c r="G198" s="101"/>
      <c r="H198" s="101"/>
      <c r="I198" s="101"/>
      <c r="J198" s="101"/>
      <c r="K198" s="101"/>
      <c r="L198" s="101"/>
      <c r="M198" s="101"/>
      <c r="N198" s="15"/>
      <c r="O198" s="15"/>
      <c r="P198" s="15"/>
      <c r="Q198" s="15"/>
      <c r="R198" s="15"/>
      <c r="S198" s="15"/>
      <c r="T198" s="15">
        <v>20</v>
      </c>
      <c r="U198" s="15">
        <v>56</v>
      </c>
      <c r="V198" s="15">
        <f>80-2</f>
        <v>78</v>
      </c>
      <c r="W198" s="15">
        <v>82</v>
      </c>
      <c r="X198" s="15">
        <v>91</v>
      </c>
      <c r="Y198" s="15">
        <v>65</v>
      </c>
      <c r="Z198" s="34">
        <v>55</v>
      </c>
      <c r="AA198" s="17">
        <f t="shared" si="89"/>
        <v>-0.15384615384615385</v>
      </c>
      <c r="AB198" s="17">
        <f t="shared" si="90"/>
        <v>-0.29487179487179488</v>
      </c>
      <c r="AC198" s="17" t="str">
        <f t="shared" si="91"/>
        <v/>
      </c>
    </row>
    <row r="199" spans="1:29" outlineLevel="5" x14ac:dyDescent="0.2">
      <c r="A199" s="8"/>
      <c r="B199" s="9"/>
      <c r="C199" s="40" t="s">
        <v>264</v>
      </c>
      <c r="D199" s="20"/>
      <c r="E199" s="12"/>
      <c r="F199" s="33"/>
      <c r="G199" s="101">
        <f t="shared" ref="G199:M199" si="115">SUBTOTAL(9,G193:G198)</f>
        <v>0</v>
      </c>
      <c r="H199" s="101">
        <f t="shared" si="115"/>
        <v>0</v>
      </c>
      <c r="I199" s="101">
        <f t="shared" si="115"/>
        <v>0</v>
      </c>
      <c r="J199" s="101">
        <f t="shared" si="115"/>
        <v>0</v>
      </c>
      <c r="K199" s="101">
        <f t="shared" si="115"/>
        <v>0</v>
      </c>
      <c r="L199" s="101">
        <f t="shared" si="115"/>
        <v>0</v>
      </c>
      <c r="M199" s="101">
        <f t="shared" si="115"/>
        <v>0</v>
      </c>
      <c r="N199" s="15">
        <f t="shared" ref="N199:W199" si="116">SUBTOTAL(9,N193:N198)</f>
        <v>0</v>
      </c>
      <c r="O199" s="15">
        <f t="shared" si="116"/>
        <v>0</v>
      </c>
      <c r="P199" s="15">
        <f t="shared" si="116"/>
        <v>0</v>
      </c>
      <c r="Q199" s="15">
        <f t="shared" si="116"/>
        <v>0</v>
      </c>
      <c r="R199" s="15">
        <f t="shared" si="116"/>
        <v>0</v>
      </c>
      <c r="S199" s="15">
        <f t="shared" si="116"/>
        <v>0</v>
      </c>
      <c r="T199" s="15">
        <f t="shared" si="116"/>
        <v>70</v>
      </c>
      <c r="U199" s="15">
        <f t="shared" si="116"/>
        <v>255</v>
      </c>
      <c r="V199" s="15">
        <f t="shared" si="116"/>
        <v>363</v>
      </c>
      <c r="W199" s="15">
        <f t="shared" si="116"/>
        <v>359</v>
      </c>
      <c r="X199" s="15">
        <f>SUBTOTAL(9,X192:X198)</f>
        <v>408</v>
      </c>
      <c r="Y199" s="15">
        <f>SUBTOTAL(9,Y192:Y198)</f>
        <v>348</v>
      </c>
      <c r="Z199" s="34">
        <f>SUBTOTAL(9,Z192:Z198)</f>
        <v>377</v>
      </c>
      <c r="AA199" s="17">
        <f t="shared" si="89"/>
        <v>8.3333333333333329E-2</v>
      </c>
      <c r="AB199" s="17">
        <f t="shared" si="90"/>
        <v>3.8567493112947659E-2</v>
      </c>
      <c r="AC199" s="17" t="str">
        <f t="shared" si="91"/>
        <v/>
      </c>
    </row>
    <row r="200" spans="1:29" outlineLevel="6" x14ac:dyDescent="0.2">
      <c r="A200" s="8" t="s">
        <v>18</v>
      </c>
      <c r="B200" s="9" t="s">
        <v>251</v>
      </c>
      <c r="C200" s="32" t="s">
        <v>265</v>
      </c>
      <c r="D200" s="20" t="s">
        <v>266</v>
      </c>
      <c r="E200" s="12">
        <v>674</v>
      </c>
      <c r="F200" s="33">
        <v>2820</v>
      </c>
      <c r="G200" s="101">
        <v>138</v>
      </c>
      <c r="H200" s="101">
        <v>124</v>
      </c>
      <c r="I200" s="101">
        <v>124</v>
      </c>
      <c r="J200" s="101">
        <v>128</v>
      </c>
      <c r="K200" s="101">
        <v>153</v>
      </c>
      <c r="L200" s="101">
        <v>187</v>
      </c>
      <c r="M200" s="101">
        <v>162</v>
      </c>
      <c r="N200" s="15">
        <v>165</v>
      </c>
      <c r="O200" s="15">
        <v>114</v>
      </c>
      <c r="P200" s="15">
        <v>103</v>
      </c>
      <c r="Q200" s="15">
        <v>121</v>
      </c>
      <c r="R200" s="15">
        <v>171</v>
      </c>
      <c r="S200" s="15">
        <v>205</v>
      </c>
      <c r="T200" s="15">
        <v>171</v>
      </c>
      <c r="U200" s="15">
        <v>128</v>
      </c>
      <c r="V200" s="15">
        <f>117-4</f>
        <v>113</v>
      </c>
      <c r="W200" s="15">
        <f>113-5</f>
        <v>108</v>
      </c>
      <c r="X200" s="15">
        <v>102</v>
      </c>
      <c r="Y200" s="15">
        <v>79</v>
      </c>
      <c r="Z200" s="34">
        <v>69</v>
      </c>
      <c r="AA200" s="17">
        <f t="shared" si="89"/>
        <v>-0.12658227848101267</v>
      </c>
      <c r="AB200" s="17">
        <f t="shared" si="90"/>
        <v>-0.38938053097345132</v>
      </c>
      <c r="AC200" s="17">
        <f t="shared" si="91"/>
        <v>-0.3300970873786408</v>
      </c>
    </row>
    <row r="201" spans="1:29" outlineLevel="6" x14ac:dyDescent="0.2">
      <c r="A201" s="8" t="s">
        <v>18</v>
      </c>
      <c r="B201" s="9" t="s">
        <v>251</v>
      </c>
      <c r="C201" s="32" t="s">
        <v>265</v>
      </c>
      <c r="D201" s="20" t="s">
        <v>267</v>
      </c>
      <c r="E201" s="12"/>
      <c r="F201" s="33">
        <v>2825</v>
      </c>
      <c r="G201" s="101"/>
      <c r="H201" s="101"/>
      <c r="I201" s="101">
        <v>1</v>
      </c>
      <c r="J201" s="101"/>
      <c r="K201" s="101"/>
      <c r="L201" s="101"/>
      <c r="M201" s="101"/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/>
      <c r="W201" s="15"/>
      <c r="X201" s="15"/>
      <c r="Y201" s="15"/>
      <c r="Z201" s="34"/>
      <c r="AA201" s="17" t="str">
        <f t="shared" ref="AA201:AA267" si="117">IF(Y201&gt;0, (Z201-Y201)/Y201, "")</f>
        <v/>
      </c>
      <c r="AB201" s="17" t="str">
        <f t="shared" ref="AB201:AB267" si="118">IF(V201&gt;0, (Z201-V201)/V201, "")</f>
        <v/>
      </c>
      <c r="AC201" s="17" t="str">
        <f t="shared" ref="AC201:AC267" si="119">IF(P201&gt;0, (Z201-P201)/P201, "")</f>
        <v/>
      </c>
    </row>
    <row r="202" spans="1:29" outlineLevel="6" x14ac:dyDescent="0.2">
      <c r="A202" s="8" t="s">
        <v>18</v>
      </c>
      <c r="B202" s="9" t="s">
        <v>251</v>
      </c>
      <c r="C202" s="32" t="s">
        <v>265</v>
      </c>
      <c r="D202" s="20" t="s">
        <v>268</v>
      </c>
      <c r="E202" s="12"/>
      <c r="F202" s="33">
        <v>2830</v>
      </c>
      <c r="G202" s="101">
        <v>1</v>
      </c>
      <c r="H202" s="101">
        <v>1</v>
      </c>
      <c r="I202" s="101">
        <v>1</v>
      </c>
      <c r="J202" s="101">
        <v>5</v>
      </c>
      <c r="K202" s="101">
        <v>8</v>
      </c>
      <c r="L202" s="101">
        <v>4</v>
      </c>
      <c r="M202" s="101">
        <v>4</v>
      </c>
      <c r="N202" s="15">
        <v>5</v>
      </c>
      <c r="O202" s="15">
        <v>6</v>
      </c>
      <c r="P202" s="15">
        <v>7</v>
      </c>
      <c r="Q202" s="15">
        <v>5</v>
      </c>
      <c r="R202" s="15">
        <v>3</v>
      </c>
      <c r="S202" s="15">
        <v>4</v>
      </c>
      <c r="T202" s="15">
        <v>4</v>
      </c>
      <c r="U202" s="15">
        <v>0</v>
      </c>
      <c r="V202" s="15">
        <v>1</v>
      </c>
      <c r="W202" s="15"/>
      <c r="X202" s="15"/>
      <c r="Y202" s="15"/>
      <c r="Z202" s="34"/>
      <c r="AA202" s="17" t="str">
        <f t="shared" si="117"/>
        <v/>
      </c>
      <c r="AB202" s="17">
        <f t="shared" si="118"/>
        <v>-1</v>
      </c>
      <c r="AC202" s="17">
        <f t="shared" si="119"/>
        <v>-1</v>
      </c>
    </row>
    <row r="203" spans="1:29" outlineLevel="5" x14ac:dyDescent="0.2">
      <c r="A203" s="8"/>
      <c r="B203" s="9"/>
      <c r="C203" s="40" t="s">
        <v>269</v>
      </c>
      <c r="D203" s="20"/>
      <c r="E203" s="12"/>
      <c r="F203" s="33"/>
      <c r="G203" s="101">
        <f t="shared" ref="G203:M203" si="120">SUBTOTAL(9,G200:G202)</f>
        <v>139</v>
      </c>
      <c r="H203" s="101">
        <f t="shared" si="120"/>
        <v>125</v>
      </c>
      <c r="I203" s="101">
        <f t="shared" si="120"/>
        <v>126</v>
      </c>
      <c r="J203" s="101">
        <f t="shared" si="120"/>
        <v>133</v>
      </c>
      <c r="K203" s="101">
        <f t="shared" si="120"/>
        <v>161</v>
      </c>
      <c r="L203" s="101">
        <f t="shared" si="120"/>
        <v>191</v>
      </c>
      <c r="M203" s="101">
        <f t="shared" si="120"/>
        <v>166</v>
      </c>
      <c r="N203" s="15">
        <f t="shared" ref="N203:X203" si="121">SUBTOTAL(9,N200:N202)</f>
        <v>170</v>
      </c>
      <c r="O203" s="15">
        <f t="shared" si="121"/>
        <v>120</v>
      </c>
      <c r="P203" s="15">
        <f t="shared" si="121"/>
        <v>110</v>
      </c>
      <c r="Q203" s="15">
        <f t="shared" si="121"/>
        <v>126</v>
      </c>
      <c r="R203" s="15">
        <f t="shared" si="121"/>
        <v>174</v>
      </c>
      <c r="S203" s="15">
        <f t="shared" si="121"/>
        <v>209</v>
      </c>
      <c r="T203" s="15">
        <f t="shared" si="121"/>
        <v>175</v>
      </c>
      <c r="U203" s="15">
        <f t="shared" si="121"/>
        <v>128</v>
      </c>
      <c r="V203" s="15">
        <f t="shared" si="121"/>
        <v>114</v>
      </c>
      <c r="W203" s="15">
        <f t="shared" si="121"/>
        <v>108</v>
      </c>
      <c r="X203" s="15">
        <f t="shared" si="121"/>
        <v>102</v>
      </c>
      <c r="Y203" s="15">
        <f t="shared" ref="Y203:Z203" si="122">SUBTOTAL(9,Y200:Y202)</f>
        <v>79</v>
      </c>
      <c r="Z203" s="34">
        <f t="shared" si="122"/>
        <v>69</v>
      </c>
      <c r="AA203" s="17">
        <f t="shared" si="117"/>
        <v>-0.12658227848101267</v>
      </c>
      <c r="AB203" s="17">
        <f t="shared" si="118"/>
        <v>-0.39473684210526316</v>
      </c>
      <c r="AC203" s="17">
        <f t="shared" si="119"/>
        <v>-0.37272727272727274</v>
      </c>
    </row>
    <row r="204" spans="1:29" outlineLevel="6" x14ac:dyDescent="0.2">
      <c r="A204" s="8" t="s">
        <v>18</v>
      </c>
      <c r="B204" s="9" t="s">
        <v>251</v>
      </c>
      <c r="C204" s="32" t="s">
        <v>270</v>
      </c>
      <c r="D204" s="20" t="s">
        <v>271</v>
      </c>
      <c r="E204" s="12"/>
      <c r="F204" s="33">
        <v>2859</v>
      </c>
      <c r="G204" s="101"/>
      <c r="H204" s="101"/>
      <c r="I204" s="101"/>
      <c r="J204" s="101"/>
      <c r="K204" s="101"/>
      <c r="L204" s="101"/>
      <c r="M204" s="101"/>
      <c r="N204" s="15"/>
      <c r="O204" s="15">
        <v>33</v>
      </c>
      <c r="P204" s="15">
        <v>78</v>
      </c>
      <c r="Q204" s="15">
        <v>101</v>
      </c>
      <c r="R204" s="15">
        <v>124</v>
      </c>
      <c r="S204" s="15">
        <v>140</v>
      </c>
      <c r="T204" s="15">
        <v>161</v>
      </c>
      <c r="U204" s="15">
        <v>175</v>
      </c>
      <c r="V204" s="15">
        <f>185-6</f>
        <v>179</v>
      </c>
      <c r="W204" s="15">
        <f>192-8</f>
        <v>184</v>
      </c>
      <c r="X204" s="15">
        <v>143</v>
      </c>
      <c r="Y204" s="15">
        <v>114</v>
      </c>
      <c r="Z204" s="34">
        <v>80</v>
      </c>
      <c r="AA204" s="17">
        <f t="shared" si="117"/>
        <v>-0.2982456140350877</v>
      </c>
      <c r="AB204" s="17">
        <f t="shared" si="118"/>
        <v>-0.55307262569832405</v>
      </c>
      <c r="AC204" s="17">
        <f t="shared" si="119"/>
        <v>2.564102564102564E-2</v>
      </c>
    </row>
    <row r="205" spans="1:29" s="47" customFormat="1" outlineLevel="6" x14ac:dyDescent="0.2">
      <c r="A205" s="8" t="s">
        <v>18</v>
      </c>
      <c r="B205" s="9" t="s">
        <v>251</v>
      </c>
      <c r="C205" s="32" t="s">
        <v>270</v>
      </c>
      <c r="D205" s="20" t="s">
        <v>272</v>
      </c>
      <c r="E205" s="12"/>
      <c r="F205" s="33">
        <v>2860</v>
      </c>
      <c r="G205" s="101"/>
      <c r="H205" s="101"/>
      <c r="I205" s="101"/>
      <c r="J205" s="101"/>
      <c r="K205" s="101"/>
      <c r="L205" s="101"/>
      <c r="M205" s="101"/>
      <c r="N205" s="15"/>
      <c r="O205" s="15">
        <v>8</v>
      </c>
      <c r="P205" s="15">
        <v>34</v>
      </c>
      <c r="Q205" s="15">
        <v>65</v>
      </c>
      <c r="R205" s="15">
        <v>105</v>
      </c>
      <c r="S205" s="15">
        <v>115</v>
      </c>
      <c r="T205" s="15">
        <v>169</v>
      </c>
      <c r="U205" s="15">
        <v>214</v>
      </c>
      <c r="V205" s="15">
        <f>216-1</f>
        <v>215</v>
      </c>
      <c r="W205" s="15">
        <f>226-1</f>
        <v>225</v>
      </c>
      <c r="X205" s="15">
        <v>238</v>
      </c>
      <c r="Y205" s="15">
        <v>224</v>
      </c>
      <c r="Z205" s="34">
        <v>205</v>
      </c>
      <c r="AA205" s="17">
        <f t="shared" si="117"/>
        <v>-8.4821428571428575E-2</v>
      </c>
      <c r="AB205" s="17">
        <f t="shared" si="118"/>
        <v>-4.6511627906976744E-2</v>
      </c>
      <c r="AC205" s="17">
        <f t="shared" si="119"/>
        <v>5.0294117647058822</v>
      </c>
    </row>
    <row r="206" spans="1:29" s="47" customFormat="1" outlineLevel="5" x14ac:dyDescent="0.2">
      <c r="A206" s="8"/>
      <c r="B206" s="9"/>
      <c r="C206" s="40" t="s">
        <v>273</v>
      </c>
      <c r="D206" s="20"/>
      <c r="E206" s="12"/>
      <c r="F206" s="33"/>
      <c r="G206" s="101">
        <f t="shared" ref="G206:M206" si="123">SUBTOTAL(9,G204:G205)</f>
        <v>0</v>
      </c>
      <c r="H206" s="101">
        <f t="shared" si="123"/>
        <v>0</v>
      </c>
      <c r="I206" s="101">
        <f t="shared" si="123"/>
        <v>0</v>
      </c>
      <c r="J206" s="101">
        <f t="shared" si="123"/>
        <v>0</v>
      </c>
      <c r="K206" s="101">
        <f t="shared" si="123"/>
        <v>0</v>
      </c>
      <c r="L206" s="101">
        <f t="shared" si="123"/>
        <v>0</v>
      </c>
      <c r="M206" s="101">
        <f t="shared" si="123"/>
        <v>0</v>
      </c>
      <c r="N206" s="15">
        <f t="shared" ref="N206:X206" si="124">SUBTOTAL(9,N204:N205)</f>
        <v>0</v>
      </c>
      <c r="O206" s="15">
        <f t="shared" si="124"/>
        <v>41</v>
      </c>
      <c r="P206" s="15">
        <f t="shared" si="124"/>
        <v>112</v>
      </c>
      <c r="Q206" s="15">
        <f t="shared" si="124"/>
        <v>166</v>
      </c>
      <c r="R206" s="15">
        <f t="shared" si="124"/>
        <v>229</v>
      </c>
      <c r="S206" s="15">
        <f t="shared" si="124"/>
        <v>255</v>
      </c>
      <c r="T206" s="15">
        <f t="shared" si="124"/>
        <v>330</v>
      </c>
      <c r="U206" s="15">
        <f t="shared" si="124"/>
        <v>389</v>
      </c>
      <c r="V206" s="15">
        <f t="shared" si="124"/>
        <v>394</v>
      </c>
      <c r="W206" s="15">
        <f t="shared" si="124"/>
        <v>409</v>
      </c>
      <c r="X206" s="15">
        <f t="shared" si="124"/>
        <v>381</v>
      </c>
      <c r="Y206" s="15">
        <f t="shared" ref="Y206:Z206" si="125">SUBTOTAL(9,Y204:Y205)</f>
        <v>338</v>
      </c>
      <c r="Z206" s="34">
        <f t="shared" si="125"/>
        <v>285</v>
      </c>
      <c r="AA206" s="17">
        <f t="shared" si="117"/>
        <v>-0.15680473372781065</v>
      </c>
      <c r="AB206" s="17">
        <f t="shared" si="118"/>
        <v>-0.2766497461928934</v>
      </c>
      <c r="AC206" s="17">
        <f t="shared" si="119"/>
        <v>1.5446428571428572</v>
      </c>
    </row>
    <row r="207" spans="1:29" s="48" customFormat="1" outlineLevel="4" x14ac:dyDescent="0.2">
      <c r="A207" s="22"/>
      <c r="B207" s="23" t="s">
        <v>274</v>
      </c>
      <c r="C207" s="40"/>
      <c r="D207" s="24"/>
      <c r="E207" s="25"/>
      <c r="F207" s="41"/>
      <c r="G207" s="102">
        <f t="shared" ref="G207:M207" si="126">SUBTOTAL(9,G188:G205)</f>
        <v>176</v>
      </c>
      <c r="H207" s="102">
        <f t="shared" si="126"/>
        <v>181</v>
      </c>
      <c r="I207" s="102">
        <f t="shared" si="126"/>
        <v>179</v>
      </c>
      <c r="J207" s="102">
        <f t="shared" si="126"/>
        <v>179</v>
      </c>
      <c r="K207" s="102">
        <f t="shared" si="126"/>
        <v>212</v>
      </c>
      <c r="L207" s="102">
        <f t="shared" si="126"/>
        <v>247</v>
      </c>
      <c r="M207" s="102">
        <f t="shared" si="126"/>
        <v>222</v>
      </c>
      <c r="N207" s="28">
        <f t="shared" ref="N207:W207" si="127">SUBTOTAL(9,N188:N205)</f>
        <v>219</v>
      </c>
      <c r="O207" s="28">
        <f t="shared" si="127"/>
        <v>217</v>
      </c>
      <c r="P207" s="28">
        <f t="shared" si="127"/>
        <v>291</v>
      </c>
      <c r="Q207" s="28">
        <f t="shared" si="127"/>
        <v>365</v>
      </c>
      <c r="R207" s="28">
        <f t="shared" si="127"/>
        <v>488</v>
      </c>
      <c r="S207" s="28">
        <f t="shared" si="127"/>
        <v>544</v>
      </c>
      <c r="T207" s="28">
        <f t="shared" si="127"/>
        <v>657</v>
      </c>
      <c r="U207" s="28">
        <f t="shared" si="127"/>
        <v>849</v>
      </c>
      <c r="V207" s="28">
        <f t="shared" si="127"/>
        <v>953</v>
      </c>
      <c r="W207" s="28">
        <f t="shared" si="127"/>
        <v>948</v>
      </c>
      <c r="X207" s="28">
        <f>SUBTOTAL(9,X188:X205)</f>
        <v>947</v>
      </c>
      <c r="Y207" s="28">
        <f>SUBTOTAL(9,Y188:Y205)</f>
        <v>809</v>
      </c>
      <c r="Z207" s="43">
        <f>SUBTOTAL(9,Z188:Z205)</f>
        <v>768</v>
      </c>
      <c r="AA207" s="17">
        <f t="shared" si="117"/>
        <v>-5.0679851668726822E-2</v>
      </c>
      <c r="AB207" s="17">
        <f t="shared" si="118"/>
        <v>-0.19412381951731375</v>
      </c>
      <c r="AC207" s="17">
        <f t="shared" si="119"/>
        <v>1.6391752577319587</v>
      </c>
    </row>
    <row r="208" spans="1:29" s="47" customFormat="1" outlineLevel="6" x14ac:dyDescent="0.2">
      <c r="A208" s="8" t="s">
        <v>18</v>
      </c>
      <c r="B208" s="31" t="s">
        <v>275</v>
      </c>
      <c r="C208" s="32" t="s">
        <v>276</v>
      </c>
      <c r="D208" s="20" t="s">
        <v>277</v>
      </c>
      <c r="E208" s="12"/>
      <c r="F208" s="33">
        <v>1005</v>
      </c>
      <c r="G208" s="101">
        <v>30</v>
      </c>
      <c r="H208" s="101">
        <v>26</v>
      </c>
      <c r="I208" s="101">
        <v>16</v>
      </c>
      <c r="J208" s="101">
        <v>13</v>
      </c>
      <c r="K208" s="101">
        <v>7</v>
      </c>
      <c r="L208" s="101">
        <v>5</v>
      </c>
      <c r="M208" s="101">
        <v>2</v>
      </c>
      <c r="N208" s="15">
        <v>2</v>
      </c>
      <c r="O208" s="15">
        <v>1</v>
      </c>
      <c r="P208" s="15">
        <v>3</v>
      </c>
      <c r="Q208" s="15">
        <v>2</v>
      </c>
      <c r="R208" s="15">
        <v>2</v>
      </c>
      <c r="S208" s="15">
        <v>3</v>
      </c>
      <c r="T208" s="15">
        <v>5</v>
      </c>
      <c r="U208" s="15">
        <v>2</v>
      </c>
      <c r="V208" s="15">
        <v>1</v>
      </c>
      <c r="W208" s="15"/>
      <c r="X208" s="15"/>
      <c r="Y208" s="15"/>
      <c r="Z208" s="34"/>
      <c r="AA208" s="17" t="str">
        <f t="shared" si="117"/>
        <v/>
      </c>
      <c r="AB208" s="17">
        <f t="shared" si="118"/>
        <v>-1</v>
      </c>
      <c r="AC208" s="17">
        <f t="shared" si="119"/>
        <v>-1</v>
      </c>
    </row>
    <row r="209" spans="1:29" outlineLevel="6" x14ac:dyDescent="0.2">
      <c r="A209" s="8" t="s">
        <v>18</v>
      </c>
      <c r="B209" s="31" t="s">
        <v>275</v>
      </c>
      <c r="C209" s="32" t="s">
        <v>276</v>
      </c>
      <c r="D209" s="20" t="s">
        <v>278</v>
      </c>
      <c r="E209" s="12">
        <v>680</v>
      </c>
      <c r="F209" s="33">
        <v>1010</v>
      </c>
      <c r="G209" s="101">
        <v>82</v>
      </c>
      <c r="H209" s="101">
        <v>86</v>
      </c>
      <c r="I209" s="101">
        <v>107</v>
      </c>
      <c r="J209" s="101">
        <v>97</v>
      </c>
      <c r="K209" s="101">
        <v>103</v>
      </c>
      <c r="L209" s="101">
        <v>121</v>
      </c>
      <c r="M209" s="101">
        <v>118</v>
      </c>
      <c r="N209" s="15">
        <v>102</v>
      </c>
      <c r="O209" s="15">
        <v>117</v>
      </c>
      <c r="P209" s="15">
        <v>119</v>
      </c>
      <c r="Q209" s="15">
        <v>85</v>
      </c>
      <c r="R209" s="15">
        <v>94</v>
      </c>
      <c r="S209" s="15">
        <v>77</v>
      </c>
      <c r="T209" s="15">
        <v>61</v>
      </c>
      <c r="U209" s="15">
        <v>56</v>
      </c>
      <c r="V209" s="15">
        <v>35</v>
      </c>
      <c r="W209" s="15">
        <f>22-2</f>
        <v>20</v>
      </c>
      <c r="X209" s="15">
        <v>19</v>
      </c>
      <c r="Y209" s="15">
        <v>13</v>
      </c>
      <c r="Z209" s="34">
        <v>13</v>
      </c>
      <c r="AA209" s="17">
        <f t="shared" si="117"/>
        <v>0</v>
      </c>
      <c r="AB209" s="17">
        <f t="shared" si="118"/>
        <v>-0.62857142857142856</v>
      </c>
      <c r="AC209" s="17">
        <f t="shared" si="119"/>
        <v>-0.89075630252100846</v>
      </c>
    </row>
    <row r="210" spans="1:29" outlineLevel="6" x14ac:dyDescent="0.2">
      <c r="A210" s="8" t="s">
        <v>18</v>
      </c>
      <c r="B210" s="31" t="s">
        <v>275</v>
      </c>
      <c r="C210" s="32" t="s">
        <v>276</v>
      </c>
      <c r="D210" s="20" t="s">
        <v>279</v>
      </c>
      <c r="E210" s="12">
        <v>540</v>
      </c>
      <c r="F210" s="33">
        <v>1015</v>
      </c>
      <c r="G210" s="101">
        <v>173</v>
      </c>
      <c r="H210" s="101">
        <v>176</v>
      </c>
      <c r="I210" s="101">
        <v>168</v>
      </c>
      <c r="J210" s="101">
        <v>155</v>
      </c>
      <c r="K210" s="101">
        <v>172</v>
      </c>
      <c r="L210" s="101">
        <v>213</v>
      </c>
      <c r="M210" s="101">
        <v>203</v>
      </c>
      <c r="N210" s="15">
        <v>205</v>
      </c>
      <c r="O210" s="15">
        <v>242</v>
      </c>
      <c r="P210" s="15">
        <v>280</v>
      </c>
      <c r="Q210" s="15">
        <v>313</v>
      </c>
      <c r="R210" s="15">
        <v>273</v>
      </c>
      <c r="S210" s="15">
        <v>236</v>
      </c>
      <c r="T210" s="15">
        <v>212</v>
      </c>
      <c r="U210" s="15">
        <v>253</v>
      </c>
      <c r="V210" s="15">
        <f>168-4</f>
        <v>164</v>
      </c>
      <c r="W210" s="15">
        <f>111-5</f>
        <v>106</v>
      </c>
      <c r="X210" s="15">
        <v>70</v>
      </c>
      <c r="Y210" s="15">
        <v>181</v>
      </c>
      <c r="Z210" s="34">
        <v>154</v>
      </c>
      <c r="AA210" s="17">
        <f t="shared" si="117"/>
        <v>-0.14917127071823205</v>
      </c>
      <c r="AB210" s="17">
        <f t="shared" si="118"/>
        <v>-6.097560975609756E-2</v>
      </c>
      <c r="AC210" s="17">
        <f t="shared" si="119"/>
        <v>-0.45</v>
      </c>
    </row>
    <row r="211" spans="1:29" outlineLevel="5" x14ac:dyDescent="0.2">
      <c r="A211" s="8"/>
      <c r="B211" s="31"/>
      <c r="C211" s="40" t="s">
        <v>280</v>
      </c>
      <c r="D211" s="20"/>
      <c r="E211" s="12"/>
      <c r="F211" s="33"/>
      <c r="G211" s="101">
        <f t="shared" ref="G211:M211" si="128">SUBTOTAL(9,G208:G210)</f>
        <v>285</v>
      </c>
      <c r="H211" s="101">
        <f t="shared" si="128"/>
        <v>288</v>
      </c>
      <c r="I211" s="101">
        <f t="shared" si="128"/>
        <v>291</v>
      </c>
      <c r="J211" s="101">
        <f t="shared" si="128"/>
        <v>265</v>
      </c>
      <c r="K211" s="101">
        <f t="shared" si="128"/>
        <v>282</v>
      </c>
      <c r="L211" s="101">
        <f t="shared" si="128"/>
        <v>339</v>
      </c>
      <c r="M211" s="101">
        <f t="shared" si="128"/>
        <v>323</v>
      </c>
      <c r="N211" s="15">
        <f t="shared" ref="N211:X211" si="129">SUBTOTAL(9,N208:N210)</f>
        <v>309</v>
      </c>
      <c r="O211" s="15">
        <f t="shared" si="129"/>
        <v>360</v>
      </c>
      <c r="P211" s="15">
        <f t="shared" si="129"/>
        <v>402</v>
      </c>
      <c r="Q211" s="15">
        <f t="shared" si="129"/>
        <v>400</v>
      </c>
      <c r="R211" s="15">
        <f t="shared" si="129"/>
        <v>369</v>
      </c>
      <c r="S211" s="15">
        <f t="shared" si="129"/>
        <v>316</v>
      </c>
      <c r="T211" s="15">
        <f t="shared" si="129"/>
        <v>278</v>
      </c>
      <c r="U211" s="15">
        <f t="shared" si="129"/>
        <v>311</v>
      </c>
      <c r="V211" s="15">
        <f t="shared" si="129"/>
        <v>200</v>
      </c>
      <c r="W211" s="15">
        <f t="shared" si="129"/>
        <v>126</v>
      </c>
      <c r="X211" s="15">
        <f t="shared" si="129"/>
        <v>89</v>
      </c>
      <c r="Y211" s="15">
        <f t="shared" ref="Y211:Z211" si="130">SUBTOTAL(9,Y208:Y210)</f>
        <v>194</v>
      </c>
      <c r="Z211" s="34">
        <f t="shared" si="130"/>
        <v>167</v>
      </c>
      <c r="AA211" s="17">
        <f t="shared" si="117"/>
        <v>-0.13917525773195877</v>
      </c>
      <c r="AB211" s="17">
        <f t="shared" si="118"/>
        <v>-0.16500000000000001</v>
      </c>
      <c r="AC211" s="17">
        <f t="shared" si="119"/>
        <v>-0.58457711442786064</v>
      </c>
    </row>
    <row r="212" spans="1:29" outlineLevel="6" x14ac:dyDescent="0.2">
      <c r="A212" s="8" t="s">
        <v>18</v>
      </c>
      <c r="B212" s="31" t="s">
        <v>275</v>
      </c>
      <c r="C212" s="32" t="s">
        <v>281</v>
      </c>
      <c r="D212" s="20" t="s">
        <v>282</v>
      </c>
      <c r="E212" s="12"/>
      <c r="F212" s="46" t="s">
        <v>283</v>
      </c>
      <c r="G212" s="101"/>
      <c r="H212" s="101"/>
      <c r="I212" s="101"/>
      <c r="J212" s="101"/>
      <c r="K212" s="101"/>
      <c r="L212" s="101"/>
      <c r="M212" s="101"/>
      <c r="N212" s="15">
        <v>1</v>
      </c>
      <c r="O212" s="15"/>
      <c r="P212" s="15">
        <v>3</v>
      </c>
      <c r="Q212" s="15">
        <v>4</v>
      </c>
      <c r="R212" s="15">
        <v>3</v>
      </c>
      <c r="S212" s="15">
        <v>6</v>
      </c>
      <c r="T212" s="15">
        <v>5</v>
      </c>
      <c r="U212" s="15">
        <v>4</v>
      </c>
      <c r="V212" s="15">
        <v>3</v>
      </c>
      <c r="W212" s="15">
        <f>1-1</f>
        <v>0</v>
      </c>
      <c r="X212" s="15"/>
      <c r="Y212" s="15"/>
      <c r="Z212" s="34">
        <v>1</v>
      </c>
      <c r="AA212" s="17" t="str">
        <f t="shared" si="117"/>
        <v/>
      </c>
      <c r="AB212" s="17">
        <f t="shared" si="118"/>
        <v>-0.66666666666666663</v>
      </c>
      <c r="AC212" s="17">
        <f t="shared" si="119"/>
        <v>-0.66666666666666663</v>
      </c>
    </row>
    <row r="213" spans="1:29" outlineLevel="6" x14ac:dyDescent="0.2">
      <c r="A213" s="8"/>
      <c r="B213" s="31"/>
      <c r="C213" s="32"/>
      <c r="D213" s="20" t="s">
        <v>463</v>
      </c>
      <c r="E213" s="12"/>
      <c r="F213" s="46" t="s">
        <v>462</v>
      </c>
      <c r="G213" s="101">
        <v>2</v>
      </c>
      <c r="H213" s="101"/>
      <c r="I213" s="101"/>
      <c r="J213" s="101"/>
      <c r="K213" s="101"/>
      <c r="L213" s="101"/>
      <c r="M213" s="101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4"/>
      <c r="AA213" s="17" t="str">
        <f t="shared" si="117"/>
        <v/>
      </c>
      <c r="AB213" s="17" t="str">
        <f t="shared" si="118"/>
        <v/>
      </c>
      <c r="AC213" s="17" t="str">
        <f t="shared" si="119"/>
        <v/>
      </c>
    </row>
    <row r="214" spans="1:29" outlineLevel="6" x14ac:dyDescent="0.2">
      <c r="A214" s="8" t="s">
        <v>18</v>
      </c>
      <c r="B214" s="31" t="s">
        <v>275</v>
      </c>
      <c r="C214" s="32" t="s">
        <v>281</v>
      </c>
      <c r="D214" s="20" t="s">
        <v>284</v>
      </c>
      <c r="E214" s="12">
        <v>80</v>
      </c>
      <c r="F214" s="33">
        <v>1025</v>
      </c>
      <c r="G214" s="101">
        <v>26</v>
      </c>
      <c r="H214" s="101">
        <v>21</v>
      </c>
      <c r="I214" s="101">
        <v>21</v>
      </c>
      <c r="J214" s="101">
        <v>28</v>
      </c>
      <c r="K214" s="101">
        <v>30</v>
      </c>
      <c r="L214" s="101">
        <v>26</v>
      </c>
      <c r="M214" s="101">
        <v>34</v>
      </c>
      <c r="N214" s="15">
        <v>30</v>
      </c>
      <c r="O214" s="15">
        <v>16</v>
      </c>
      <c r="P214" s="15">
        <v>26</v>
      </c>
      <c r="Q214" s="15">
        <v>31</v>
      </c>
      <c r="R214" s="15">
        <v>34</v>
      </c>
      <c r="S214" s="15">
        <v>41</v>
      </c>
      <c r="T214" s="15">
        <v>45</v>
      </c>
      <c r="U214" s="15">
        <v>41</v>
      </c>
      <c r="V214" s="15">
        <f>24-1</f>
        <v>23</v>
      </c>
      <c r="W214" s="15">
        <f>18-1</f>
        <v>17</v>
      </c>
      <c r="X214" s="15">
        <v>18</v>
      </c>
      <c r="Y214" s="15">
        <v>18</v>
      </c>
      <c r="Z214" s="34">
        <v>15</v>
      </c>
      <c r="AA214" s="17">
        <f t="shared" si="117"/>
        <v>-0.16666666666666666</v>
      </c>
      <c r="AB214" s="17">
        <f t="shared" si="118"/>
        <v>-0.34782608695652173</v>
      </c>
      <c r="AC214" s="17">
        <f t="shared" si="119"/>
        <v>-0.42307692307692307</v>
      </c>
    </row>
    <row r="215" spans="1:29" outlineLevel="6" x14ac:dyDescent="0.2">
      <c r="A215" s="8" t="s">
        <v>18</v>
      </c>
      <c r="B215" s="31" t="s">
        <v>275</v>
      </c>
      <c r="C215" s="32" t="s">
        <v>281</v>
      </c>
      <c r="D215" s="20" t="s">
        <v>285</v>
      </c>
      <c r="E215" s="12">
        <v>60</v>
      </c>
      <c r="F215" s="33">
        <v>1030</v>
      </c>
      <c r="G215" s="101">
        <v>32</v>
      </c>
      <c r="H215" s="101">
        <v>23</v>
      </c>
      <c r="I215" s="101">
        <v>10</v>
      </c>
      <c r="J215" s="101">
        <v>4</v>
      </c>
      <c r="K215" s="101">
        <v>3</v>
      </c>
      <c r="L215" s="101">
        <v>4</v>
      </c>
      <c r="M215" s="101">
        <v>1</v>
      </c>
      <c r="N215" s="15">
        <v>5</v>
      </c>
      <c r="O215" s="15">
        <v>12</v>
      </c>
      <c r="P215" s="15">
        <v>6</v>
      </c>
      <c r="Q215" s="15">
        <v>8</v>
      </c>
      <c r="R215" s="15">
        <v>11</v>
      </c>
      <c r="S215" s="15">
        <v>7</v>
      </c>
      <c r="T215" s="15">
        <v>4</v>
      </c>
      <c r="U215" s="15">
        <v>20</v>
      </c>
      <c r="V215" s="15">
        <v>6</v>
      </c>
      <c r="W215" s="15">
        <v>3</v>
      </c>
      <c r="X215" s="15">
        <v>9</v>
      </c>
      <c r="Y215" s="15">
        <v>6</v>
      </c>
      <c r="Z215" s="34">
        <v>5</v>
      </c>
      <c r="AA215" s="17">
        <f t="shared" si="117"/>
        <v>-0.16666666666666666</v>
      </c>
      <c r="AB215" s="17">
        <f t="shared" si="118"/>
        <v>-0.16666666666666666</v>
      </c>
      <c r="AC215" s="17">
        <f t="shared" si="119"/>
        <v>-0.16666666666666666</v>
      </c>
    </row>
    <row r="216" spans="1:29" outlineLevel="6" x14ac:dyDescent="0.2">
      <c r="A216" s="8" t="s">
        <v>18</v>
      </c>
      <c r="B216" s="31" t="s">
        <v>275</v>
      </c>
      <c r="C216" s="32" t="s">
        <v>281</v>
      </c>
      <c r="D216" s="20" t="s">
        <v>286</v>
      </c>
      <c r="E216" s="58">
        <v>50</v>
      </c>
      <c r="F216" s="59">
        <v>1035</v>
      </c>
      <c r="G216" s="101">
        <v>46</v>
      </c>
      <c r="H216" s="101">
        <v>37</v>
      </c>
      <c r="I216" s="101">
        <v>32</v>
      </c>
      <c r="J216" s="101">
        <v>34</v>
      </c>
      <c r="K216" s="101">
        <v>32</v>
      </c>
      <c r="L216" s="101">
        <v>32</v>
      </c>
      <c r="M216" s="101">
        <v>31</v>
      </c>
      <c r="N216" s="15">
        <v>20</v>
      </c>
      <c r="O216" s="15">
        <v>23</v>
      </c>
      <c r="P216" s="15">
        <v>23</v>
      </c>
      <c r="Q216" s="15">
        <v>17</v>
      </c>
      <c r="R216" s="15">
        <v>16</v>
      </c>
      <c r="S216" s="15">
        <v>16</v>
      </c>
      <c r="T216" s="15">
        <v>26</v>
      </c>
      <c r="U216" s="15">
        <v>30</v>
      </c>
      <c r="V216" s="15">
        <v>15</v>
      </c>
      <c r="W216" s="15">
        <v>9</v>
      </c>
      <c r="X216" s="15">
        <v>7</v>
      </c>
      <c r="Y216" s="15">
        <v>6</v>
      </c>
      <c r="Z216" s="34">
        <v>11</v>
      </c>
      <c r="AA216" s="17">
        <f t="shared" si="117"/>
        <v>0.83333333333333337</v>
      </c>
      <c r="AB216" s="17">
        <f t="shared" si="118"/>
        <v>-0.26666666666666666</v>
      </c>
      <c r="AC216" s="17">
        <f t="shared" si="119"/>
        <v>-0.52173913043478259</v>
      </c>
    </row>
    <row r="217" spans="1:29" outlineLevel="6" x14ac:dyDescent="0.2">
      <c r="A217" s="8" t="s">
        <v>18</v>
      </c>
      <c r="B217" s="31" t="s">
        <v>275</v>
      </c>
      <c r="C217" s="32" t="s">
        <v>281</v>
      </c>
      <c r="D217" s="20" t="s">
        <v>287</v>
      </c>
      <c r="E217" s="58">
        <v>40</v>
      </c>
      <c r="F217" s="59">
        <v>1040</v>
      </c>
      <c r="G217" s="101">
        <v>62</v>
      </c>
      <c r="H217" s="101">
        <v>55</v>
      </c>
      <c r="I217" s="101">
        <v>54</v>
      </c>
      <c r="J217" s="101">
        <v>46</v>
      </c>
      <c r="K217" s="101">
        <v>45</v>
      </c>
      <c r="L217" s="101">
        <v>47</v>
      </c>
      <c r="M217" s="101">
        <v>37</v>
      </c>
      <c r="N217" s="15">
        <v>44</v>
      </c>
      <c r="O217" s="15">
        <v>45</v>
      </c>
      <c r="P217" s="15">
        <v>41</v>
      </c>
      <c r="Q217" s="15">
        <v>52</v>
      </c>
      <c r="R217" s="15">
        <v>46</v>
      </c>
      <c r="S217" s="15">
        <v>70</v>
      </c>
      <c r="T217" s="15">
        <v>80</v>
      </c>
      <c r="U217" s="15">
        <v>103</v>
      </c>
      <c r="V217" s="15">
        <v>66</v>
      </c>
      <c r="W217" s="15">
        <v>25</v>
      </c>
      <c r="X217" s="15">
        <v>21</v>
      </c>
      <c r="Y217" s="15">
        <v>24</v>
      </c>
      <c r="Z217" s="34">
        <v>12</v>
      </c>
      <c r="AA217" s="17">
        <f t="shared" si="117"/>
        <v>-0.5</v>
      </c>
      <c r="AB217" s="17">
        <f t="shared" si="118"/>
        <v>-0.81818181818181823</v>
      </c>
      <c r="AC217" s="17">
        <f t="shared" si="119"/>
        <v>-0.70731707317073167</v>
      </c>
    </row>
    <row r="218" spans="1:29" outlineLevel="6" x14ac:dyDescent="0.2">
      <c r="A218" s="8" t="s">
        <v>18</v>
      </c>
      <c r="B218" s="31" t="s">
        <v>275</v>
      </c>
      <c r="C218" s="32" t="s">
        <v>281</v>
      </c>
      <c r="D218" s="20" t="s">
        <v>288</v>
      </c>
      <c r="E218" s="12">
        <v>650</v>
      </c>
      <c r="F218" s="33">
        <v>1045</v>
      </c>
      <c r="G218" s="101"/>
      <c r="H218" s="101">
        <v>1</v>
      </c>
      <c r="I218" s="101">
        <v>2</v>
      </c>
      <c r="J218" s="101">
        <v>1</v>
      </c>
      <c r="K218" s="101"/>
      <c r="L218" s="101">
        <v>1</v>
      </c>
      <c r="M218" s="101">
        <v>3</v>
      </c>
      <c r="N218" s="15">
        <v>0</v>
      </c>
      <c r="O218" s="15">
        <v>2</v>
      </c>
      <c r="P218" s="15">
        <v>1</v>
      </c>
      <c r="Q218" s="15">
        <v>2</v>
      </c>
      <c r="R218" s="15">
        <v>3</v>
      </c>
      <c r="S218" s="15">
        <v>1</v>
      </c>
      <c r="T218" s="15">
        <v>0</v>
      </c>
      <c r="U218" s="15">
        <v>0</v>
      </c>
      <c r="V218" s="15"/>
      <c r="W218" s="15"/>
      <c r="X218" s="15"/>
      <c r="Y218" s="15">
        <v>1</v>
      </c>
      <c r="Z218" s="34">
        <v>1</v>
      </c>
      <c r="AA218" s="17">
        <f t="shared" si="117"/>
        <v>0</v>
      </c>
      <c r="AB218" s="17" t="str">
        <f t="shared" si="118"/>
        <v/>
      </c>
      <c r="AC218" s="17">
        <f t="shared" si="119"/>
        <v>0</v>
      </c>
    </row>
    <row r="219" spans="1:29" outlineLevel="5" x14ac:dyDescent="0.2">
      <c r="A219" s="8"/>
      <c r="B219" s="31"/>
      <c r="C219" s="40" t="s">
        <v>289</v>
      </c>
      <c r="D219" s="20"/>
      <c r="E219" s="12"/>
      <c r="F219" s="33"/>
      <c r="G219" s="101">
        <f>SUBTOTAL(9,G212:G218)</f>
        <v>168</v>
      </c>
      <c r="H219" s="101">
        <f t="shared" ref="H219:M219" si="131">SUBTOTAL(9,H212:H218)</f>
        <v>137</v>
      </c>
      <c r="I219" s="101">
        <f t="shared" si="131"/>
        <v>119</v>
      </c>
      <c r="J219" s="101">
        <f t="shared" si="131"/>
        <v>113</v>
      </c>
      <c r="K219" s="101">
        <f t="shared" si="131"/>
        <v>110</v>
      </c>
      <c r="L219" s="101">
        <f t="shared" si="131"/>
        <v>110</v>
      </c>
      <c r="M219" s="101">
        <f t="shared" si="131"/>
        <v>106</v>
      </c>
      <c r="N219" s="15">
        <f t="shared" ref="N219:X219" si="132">SUBTOTAL(9,N212:N218)</f>
        <v>100</v>
      </c>
      <c r="O219" s="15">
        <f t="shared" si="132"/>
        <v>98</v>
      </c>
      <c r="P219" s="15">
        <f t="shared" si="132"/>
        <v>100</v>
      </c>
      <c r="Q219" s="15">
        <f t="shared" si="132"/>
        <v>114</v>
      </c>
      <c r="R219" s="15">
        <f t="shared" si="132"/>
        <v>113</v>
      </c>
      <c r="S219" s="15">
        <f t="shared" si="132"/>
        <v>141</v>
      </c>
      <c r="T219" s="15">
        <f t="shared" si="132"/>
        <v>160</v>
      </c>
      <c r="U219" s="15">
        <f t="shared" si="132"/>
        <v>198</v>
      </c>
      <c r="V219" s="15">
        <f t="shared" si="132"/>
        <v>113</v>
      </c>
      <c r="W219" s="15">
        <f t="shared" si="132"/>
        <v>54</v>
      </c>
      <c r="X219" s="15">
        <f t="shared" si="132"/>
        <v>55</v>
      </c>
      <c r="Y219" s="15">
        <f t="shared" ref="Y219:Z219" si="133">SUBTOTAL(9,Y212:Y218)</f>
        <v>55</v>
      </c>
      <c r="Z219" s="34">
        <f t="shared" si="133"/>
        <v>45</v>
      </c>
      <c r="AA219" s="17">
        <f t="shared" si="117"/>
        <v>-0.18181818181818182</v>
      </c>
      <c r="AB219" s="17">
        <f t="shared" si="118"/>
        <v>-0.60176991150442483</v>
      </c>
      <c r="AC219" s="17">
        <f t="shared" si="119"/>
        <v>-0.55000000000000004</v>
      </c>
    </row>
    <row r="220" spans="1:29" s="44" customFormat="1" outlineLevel="4" x14ac:dyDescent="0.2">
      <c r="A220" s="22"/>
      <c r="B220" s="39" t="s">
        <v>290</v>
      </c>
      <c r="C220" s="40"/>
      <c r="D220" s="24"/>
      <c r="E220" s="25"/>
      <c r="F220" s="41"/>
      <c r="G220" s="102">
        <f t="shared" ref="G220:M220" si="134">SUBTOTAL(9,G208:G218)</f>
        <v>453</v>
      </c>
      <c r="H220" s="102">
        <f t="shared" si="134"/>
        <v>425</v>
      </c>
      <c r="I220" s="102">
        <f t="shared" si="134"/>
        <v>410</v>
      </c>
      <c r="J220" s="102">
        <f t="shared" si="134"/>
        <v>378</v>
      </c>
      <c r="K220" s="102">
        <f t="shared" si="134"/>
        <v>392</v>
      </c>
      <c r="L220" s="102">
        <f t="shared" si="134"/>
        <v>449</v>
      </c>
      <c r="M220" s="102">
        <f t="shared" si="134"/>
        <v>429</v>
      </c>
      <c r="N220" s="28">
        <f t="shared" ref="N220:X220" si="135">SUBTOTAL(9,N208:N218)</f>
        <v>409</v>
      </c>
      <c r="O220" s="28">
        <f t="shared" si="135"/>
        <v>458</v>
      </c>
      <c r="P220" s="28">
        <f t="shared" si="135"/>
        <v>502</v>
      </c>
      <c r="Q220" s="28">
        <f t="shared" si="135"/>
        <v>514</v>
      </c>
      <c r="R220" s="28">
        <f t="shared" si="135"/>
        <v>482</v>
      </c>
      <c r="S220" s="28">
        <f t="shared" si="135"/>
        <v>457</v>
      </c>
      <c r="T220" s="28">
        <f t="shared" si="135"/>
        <v>438</v>
      </c>
      <c r="U220" s="28">
        <f t="shared" si="135"/>
        <v>509</v>
      </c>
      <c r="V220" s="28">
        <f t="shared" si="135"/>
        <v>313</v>
      </c>
      <c r="W220" s="28">
        <f t="shared" si="135"/>
        <v>180</v>
      </c>
      <c r="X220" s="28">
        <f t="shared" si="135"/>
        <v>144</v>
      </c>
      <c r="Y220" s="28">
        <f t="shared" ref="Y220:Z220" si="136">SUBTOTAL(9,Y208:Y218)</f>
        <v>249</v>
      </c>
      <c r="Z220" s="43">
        <f t="shared" si="136"/>
        <v>212</v>
      </c>
      <c r="AA220" s="17">
        <f t="shared" si="117"/>
        <v>-0.14859437751004015</v>
      </c>
      <c r="AB220" s="17">
        <f t="shared" si="118"/>
        <v>-0.32268370607028751</v>
      </c>
      <c r="AC220" s="17">
        <f t="shared" si="119"/>
        <v>-0.57768924302788849</v>
      </c>
    </row>
    <row r="221" spans="1:29" outlineLevel="6" x14ac:dyDescent="0.2">
      <c r="A221" s="8" t="s">
        <v>18</v>
      </c>
      <c r="B221" s="31" t="s">
        <v>291</v>
      </c>
      <c r="C221" s="32" t="s">
        <v>291</v>
      </c>
      <c r="D221" s="20" t="s">
        <v>292</v>
      </c>
      <c r="E221" s="58"/>
      <c r="F221" s="59" t="s">
        <v>293</v>
      </c>
      <c r="G221" s="101"/>
      <c r="H221" s="101"/>
      <c r="I221" s="101">
        <v>2</v>
      </c>
      <c r="J221" s="101">
        <v>3</v>
      </c>
      <c r="K221" s="101">
        <v>4</v>
      </c>
      <c r="L221" s="101">
        <v>7</v>
      </c>
      <c r="M221" s="101">
        <v>8</v>
      </c>
      <c r="N221" s="15">
        <v>7</v>
      </c>
      <c r="O221" s="15">
        <v>13</v>
      </c>
      <c r="P221" s="15">
        <v>8</v>
      </c>
      <c r="Q221" s="15">
        <v>11</v>
      </c>
      <c r="R221" s="15">
        <v>11</v>
      </c>
      <c r="S221" s="15">
        <v>18</v>
      </c>
      <c r="T221" s="15">
        <v>16</v>
      </c>
      <c r="U221" s="15">
        <v>10</v>
      </c>
      <c r="V221" s="15">
        <v>13</v>
      </c>
      <c r="W221" s="15">
        <v>16</v>
      </c>
      <c r="X221" s="15">
        <v>16</v>
      </c>
      <c r="Y221" s="15">
        <v>11</v>
      </c>
      <c r="Z221" s="34">
        <v>13</v>
      </c>
      <c r="AA221" s="17">
        <f t="shared" si="117"/>
        <v>0.18181818181818182</v>
      </c>
      <c r="AB221" s="17">
        <f t="shared" si="118"/>
        <v>0</v>
      </c>
      <c r="AC221" s="17">
        <f t="shared" si="119"/>
        <v>0.625</v>
      </c>
    </row>
    <row r="222" spans="1:29" s="44" customFormat="1" outlineLevel="4" x14ac:dyDescent="0.2">
      <c r="A222" s="22"/>
      <c r="B222" s="39" t="s">
        <v>294</v>
      </c>
      <c r="C222" s="40"/>
      <c r="D222" s="24"/>
      <c r="E222" s="60"/>
      <c r="F222" s="61"/>
      <c r="G222" s="102">
        <f t="shared" ref="G222:M222" si="137">SUBTOTAL(9,G221:G221)</f>
        <v>0</v>
      </c>
      <c r="H222" s="102">
        <f t="shared" si="137"/>
        <v>0</v>
      </c>
      <c r="I222" s="102">
        <f t="shared" si="137"/>
        <v>2</v>
      </c>
      <c r="J222" s="102">
        <f t="shared" si="137"/>
        <v>3</v>
      </c>
      <c r="K222" s="102">
        <f t="shared" si="137"/>
        <v>4</v>
      </c>
      <c r="L222" s="102">
        <f t="shared" si="137"/>
        <v>7</v>
      </c>
      <c r="M222" s="102">
        <f t="shared" si="137"/>
        <v>8</v>
      </c>
      <c r="N222" s="28">
        <f t="shared" ref="N222:X222" si="138">SUBTOTAL(9,N221:N221)</f>
        <v>7</v>
      </c>
      <c r="O222" s="28">
        <f t="shared" si="138"/>
        <v>13</v>
      </c>
      <c r="P222" s="28">
        <f t="shared" si="138"/>
        <v>8</v>
      </c>
      <c r="Q222" s="28">
        <f t="shared" si="138"/>
        <v>11</v>
      </c>
      <c r="R222" s="28">
        <f t="shared" si="138"/>
        <v>11</v>
      </c>
      <c r="S222" s="28">
        <f t="shared" si="138"/>
        <v>18</v>
      </c>
      <c r="T222" s="28">
        <f t="shared" si="138"/>
        <v>16</v>
      </c>
      <c r="U222" s="28">
        <f t="shared" si="138"/>
        <v>10</v>
      </c>
      <c r="V222" s="28">
        <f t="shared" si="138"/>
        <v>13</v>
      </c>
      <c r="W222" s="28">
        <f t="shared" si="138"/>
        <v>16</v>
      </c>
      <c r="X222" s="28">
        <f t="shared" si="138"/>
        <v>16</v>
      </c>
      <c r="Y222" s="28">
        <f t="shared" ref="Y222:Z222" si="139">SUBTOTAL(9,Y221:Y221)</f>
        <v>11</v>
      </c>
      <c r="Z222" s="43">
        <f t="shared" si="139"/>
        <v>13</v>
      </c>
      <c r="AA222" s="17">
        <f t="shared" si="117"/>
        <v>0.18181818181818182</v>
      </c>
      <c r="AB222" s="17">
        <f t="shared" si="118"/>
        <v>0</v>
      </c>
      <c r="AC222" s="17">
        <f t="shared" si="119"/>
        <v>0.625</v>
      </c>
    </row>
    <row r="223" spans="1:29" s="47" customFormat="1" outlineLevel="6" x14ac:dyDescent="0.2">
      <c r="A223" s="8" t="s">
        <v>18</v>
      </c>
      <c r="B223" s="31" t="s">
        <v>295</v>
      </c>
      <c r="C223" s="32" t="s">
        <v>295</v>
      </c>
      <c r="D223" s="20" t="s">
        <v>296</v>
      </c>
      <c r="E223" s="12"/>
      <c r="F223" s="33">
        <v>2870</v>
      </c>
      <c r="G223" s="101"/>
      <c r="H223" s="101"/>
      <c r="I223" s="101"/>
      <c r="J223" s="101"/>
      <c r="K223" s="101"/>
      <c r="L223" s="101"/>
      <c r="M223" s="101"/>
      <c r="N223" s="15"/>
      <c r="O223" s="15"/>
      <c r="P223" s="15">
        <v>5</v>
      </c>
      <c r="Q223" s="15">
        <v>28</v>
      </c>
      <c r="R223" s="15">
        <v>51</v>
      </c>
      <c r="S223" s="15">
        <v>53</v>
      </c>
      <c r="T223" s="15">
        <v>40</v>
      </c>
      <c r="U223" s="15">
        <v>35</v>
      </c>
      <c r="V223" s="15">
        <f>34-1</f>
        <v>33</v>
      </c>
      <c r="W223" s="15">
        <v>36</v>
      </c>
      <c r="X223" s="15">
        <v>29</v>
      </c>
      <c r="Y223" s="15">
        <v>24</v>
      </c>
      <c r="Z223" s="34">
        <v>15</v>
      </c>
      <c r="AA223" s="17">
        <f t="shared" si="117"/>
        <v>-0.375</v>
      </c>
      <c r="AB223" s="17">
        <f t="shared" si="118"/>
        <v>-0.54545454545454541</v>
      </c>
      <c r="AC223" s="17">
        <f t="shared" si="119"/>
        <v>2</v>
      </c>
    </row>
    <row r="224" spans="1:29" s="48" customFormat="1" outlineLevel="4" x14ac:dyDescent="0.2">
      <c r="A224" s="22"/>
      <c r="B224" s="39" t="s">
        <v>297</v>
      </c>
      <c r="C224" s="40"/>
      <c r="D224" s="24"/>
      <c r="E224" s="25"/>
      <c r="F224" s="41"/>
      <c r="G224" s="102">
        <f t="shared" ref="G224:M224" si="140">SUBTOTAL(9,G223:G223)</f>
        <v>0</v>
      </c>
      <c r="H224" s="102">
        <f t="shared" si="140"/>
        <v>0</v>
      </c>
      <c r="I224" s="102">
        <f t="shared" si="140"/>
        <v>0</v>
      </c>
      <c r="J224" s="102">
        <f t="shared" si="140"/>
        <v>0</v>
      </c>
      <c r="K224" s="102">
        <f t="shared" si="140"/>
        <v>0</v>
      </c>
      <c r="L224" s="102">
        <f t="shared" si="140"/>
        <v>0</v>
      </c>
      <c r="M224" s="102">
        <f t="shared" si="140"/>
        <v>0</v>
      </c>
      <c r="N224" s="28">
        <f t="shared" ref="N224:W224" si="141">SUBTOTAL(9,N223:N223)</f>
        <v>0</v>
      </c>
      <c r="O224" s="28">
        <f t="shared" si="141"/>
        <v>0</v>
      </c>
      <c r="P224" s="28">
        <f t="shared" si="141"/>
        <v>5</v>
      </c>
      <c r="Q224" s="28">
        <f t="shared" si="141"/>
        <v>28</v>
      </c>
      <c r="R224" s="28">
        <f t="shared" si="141"/>
        <v>51</v>
      </c>
      <c r="S224" s="28">
        <f t="shared" si="141"/>
        <v>53</v>
      </c>
      <c r="T224" s="28">
        <f t="shared" si="141"/>
        <v>40</v>
      </c>
      <c r="U224" s="28">
        <f t="shared" si="141"/>
        <v>35</v>
      </c>
      <c r="V224" s="28">
        <f t="shared" si="141"/>
        <v>33</v>
      </c>
      <c r="W224" s="28">
        <f t="shared" si="141"/>
        <v>36</v>
      </c>
      <c r="X224" s="28">
        <f t="shared" ref="X224:Z224" si="142">SUBTOTAL(9,X223:X223)</f>
        <v>29</v>
      </c>
      <c r="Y224" s="28">
        <f t="shared" si="142"/>
        <v>24</v>
      </c>
      <c r="Z224" s="43">
        <f t="shared" si="142"/>
        <v>15</v>
      </c>
      <c r="AA224" s="17">
        <f t="shared" si="117"/>
        <v>-0.375</v>
      </c>
      <c r="AB224" s="17">
        <f t="shared" si="118"/>
        <v>-0.54545454545454541</v>
      </c>
      <c r="AC224" s="17">
        <f t="shared" si="119"/>
        <v>2</v>
      </c>
    </row>
    <row r="225" spans="1:30" s="48" customFormat="1" outlineLevel="3" x14ac:dyDescent="0.2">
      <c r="A225" s="22" t="s">
        <v>298</v>
      </c>
      <c r="B225" s="39"/>
      <c r="C225" s="40"/>
      <c r="D225" s="24"/>
      <c r="E225" s="25"/>
      <c r="F225" s="41"/>
      <c r="G225" s="102">
        <f t="shared" ref="G225:X225" si="143">SUBTOTAL(9,G2:G223)</f>
        <v>3183</v>
      </c>
      <c r="H225" s="102">
        <f t="shared" si="143"/>
        <v>3336</v>
      </c>
      <c r="I225" s="102">
        <f t="shared" si="143"/>
        <v>3639</v>
      </c>
      <c r="J225" s="102">
        <f t="shared" si="143"/>
        <v>3739</v>
      </c>
      <c r="K225" s="102">
        <f t="shared" si="143"/>
        <v>3976</v>
      </c>
      <c r="L225" s="102">
        <f t="shared" si="143"/>
        <v>4127</v>
      </c>
      <c r="M225" s="102">
        <f t="shared" si="143"/>
        <v>4293</v>
      </c>
      <c r="N225" s="28">
        <f t="shared" si="143"/>
        <v>4344</v>
      </c>
      <c r="O225" s="28">
        <f t="shared" si="143"/>
        <v>4548</v>
      </c>
      <c r="P225" s="28">
        <f t="shared" si="143"/>
        <v>4793</v>
      </c>
      <c r="Q225" s="28">
        <f t="shared" si="143"/>
        <v>5144</v>
      </c>
      <c r="R225" s="28">
        <f t="shared" si="143"/>
        <v>5711</v>
      </c>
      <c r="S225" s="28">
        <f t="shared" si="143"/>
        <v>5914</v>
      </c>
      <c r="T225" s="28">
        <f t="shared" si="143"/>
        <v>6111</v>
      </c>
      <c r="U225" s="28">
        <f t="shared" si="143"/>
        <v>6389</v>
      </c>
      <c r="V225" s="28">
        <f t="shared" si="143"/>
        <v>6340</v>
      </c>
      <c r="W225" s="28">
        <f t="shared" si="143"/>
        <v>6180</v>
      </c>
      <c r="X225" s="28">
        <f t="shared" si="143"/>
        <v>5917</v>
      </c>
      <c r="Y225" s="28">
        <f>SUBTOTAL(9,Y2:Y223)</f>
        <v>5422</v>
      </c>
      <c r="Z225" s="43">
        <f>SUBTOTAL(9,Z2:Z223)</f>
        <v>5341</v>
      </c>
      <c r="AA225" s="17">
        <f t="shared" si="117"/>
        <v>-1.4939136849870896E-2</v>
      </c>
      <c r="AB225" s="17">
        <f t="shared" si="118"/>
        <v>-0.15757097791798108</v>
      </c>
      <c r="AC225" s="17">
        <f t="shared" si="119"/>
        <v>0.11433340287919883</v>
      </c>
      <c r="AD225" s="48">
        <v>5341</v>
      </c>
    </row>
    <row r="226" spans="1:30" s="18" customFormat="1" outlineLevel="6" x14ac:dyDescent="0.2">
      <c r="A226" s="8" t="s">
        <v>299</v>
      </c>
      <c r="B226" s="31" t="s">
        <v>300</v>
      </c>
      <c r="C226" s="10" t="s">
        <v>301</v>
      </c>
      <c r="D226" s="20" t="s">
        <v>302</v>
      </c>
      <c r="E226" s="12">
        <v>222</v>
      </c>
      <c r="F226" s="33">
        <v>3100</v>
      </c>
      <c r="G226" s="101">
        <v>129</v>
      </c>
      <c r="H226" s="101">
        <v>98</v>
      </c>
      <c r="I226" s="101">
        <v>88</v>
      </c>
      <c r="J226" s="101">
        <v>91</v>
      </c>
      <c r="K226" s="101">
        <v>103</v>
      </c>
      <c r="L226" s="101">
        <v>117</v>
      </c>
      <c r="M226" s="101">
        <v>131</v>
      </c>
      <c r="N226" s="15">
        <v>155</v>
      </c>
      <c r="O226" s="15">
        <v>164</v>
      </c>
      <c r="P226" s="15">
        <v>186</v>
      </c>
      <c r="Q226" s="15">
        <v>212</v>
      </c>
      <c r="R226" s="15">
        <v>230</v>
      </c>
      <c r="S226" s="15">
        <v>197</v>
      </c>
      <c r="T226" s="15">
        <v>175</v>
      </c>
      <c r="U226" s="15">
        <v>169</v>
      </c>
      <c r="V226" s="15">
        <f>170-3</f>
        <v>167</v>
      </c>
      <c r="W226" s="15">
        <f>166-4</f>
        <v>162</v>
      </c>
      <c r="X226" s="15">
        <v>184</v>
      </c>
      <c r="Y226" s="15">
        <v>143</v>
      </c>
      <c r="Z226" s="34">
        <v>144</v>
      </c>
      <c r="AA226" s="17">
        <f t="shared" si="117"/>
        <v>6.993006993006993E-3</v>
      </c>
      <c r="AB226" s="17">
        <f t="shared" si="118"/>
        <v>-0.1377245508982036</v>
      </c>
      <c r="AC226" s="17">
        <f t="shared" si="119"/>
        <v>-0.22580645161290322</v>
      </c>
    </row>
    <row r="227" spans="1:30" outlineLevel="6" x14ac:dyDescent="0.2">
      <c r="A227" s="8" t="s">
        <v>299</v>
      </c>
      <c r="B227" s="31" t="s">
        <v>300</v>
      </c>
      <c r="C227" s="10" t="s">
        <v>301</v>
      </c>
      <c r="D227" s="62" t="s">
        <v>303</v>
      </c>
      <c r="E227" s="63"/>
      <c r="F227" s="64">
        <v>3150</v>
      </c>
      <c r="G227" s="64"/>
      <c r="H227" s="64"/>
      <c r="I227" s="64"/>
      <c r="J227" s="64">
        <v>2</v>
      </c>
      <c r="K227" s="64">
        <v>7</v>
      </c>
      <c r="L227" s="64">
        <v>4</v>
      </c>
      <c r="M227" s="64">
        <v>3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/>
      <c r="W227" s="14"/>
      <c r="X227" s="14"/>
      <c r="Y227" s="14"/>
      <c r="Z227" s="65"/>
      <c r="AA227" s="17" t="str">
        <f t="shared" si="117"/>
        <v/>
      </c>
      <c r="AB227" s="17" t="str">
        <f t="shared" si="118"/>
        <v/>
      </c>
      <c r="AC227" s="17" t="str">
        <f t="shared" si="119"/>
        <v/>
      </c>
    </row>
    <row r="228" spans="1:30" s="44" customFormat="1" outlineLevel="5" x14ac:dyDescent="0.2">
      <c r="A228" s="22"/>
      <c r="B228" s="39"/>
      <c r="C228" s="19" t="s">
        <v>304</v>
      </c>
      <c r="D228" s="109"/>
      <c r="E228" s="110"/>
      <c r="F228" s="111"/>
      <c r="G228" s="111">
        <f t="shared" ref="G228:M228" si="144">SUBTOTAL(9,G226:G227)</f>
        <v>129</v>
      </c>
      <c r="H228" s="111">
        <f t="shared" si="144"/>
        <v>98</v>
      </c>
      <c r="I228" s="111">
        <f t="shared" si="144"/>
        <v>88</v>
      </c>
      <c r="J228" s="111">
        <f t="shared" si="144"/>
        <v>93</v>
      </c>
      <c r="K228" s="111">
        <f t="shared" si="144"/>
        <v>110</v>
      </c>
      <c r="L228" s="111">
        <f t="shared" si="144"/>
        <v>121</v>
      </c>
      <c r="M228" s="111">
        <f t="shared" si="144"/>
        <v>134</v>
      </c>
      <c r="N228" s="27">
        <f t="shared" ref="N228:X228" si="145">SUBTOTAL(9,N226:N227)</f>
        <v>155</v>
      </c>
      <c r="O228" s="27">
        <f t="shared" si="145"/>
        <v>164</v>
      </c>
      <c r="P228" s="27">
        <f t="shared" si="145"/>
        <v>186</v>
      </c>
      <c r="Q228" s="27">
        <f t="shared" si="145"/>
        <v>212</v>
      </c>
      <c r="R228" s="27">
        <f t="shared" si="145"/>
        <v>230</v>
      </c>
      <c r="S228" s="27">
        <f t="shared" si="145"/>
        <v>197</v>
      </c>
      <c r="T228" s="27">
        <f t="shared" si="145"/>
        <v>175</v>
      </c>
      <c r="U228" s="27">
        <f t="shared" si="145"/>
        <v>169</v>
      </c>
      <c r="V228" s="27">
        <f t="shared" si="145"/>
        <v>167</v>
      </c>
      <c r="W228" s="27">
        <f t="shared" si="145"/>
        <v>162</v>
      </c>
      <c r="X228" s="27">
        <f t="shared" si="145"/>
        <v>184</v>
      </c>
      <c r="Y228" s="28">
        <f t="shared" ref="Y228:Z228" si="146">SUBTOTAL(9,Y226:Y227)</f>
        <v>143</v>
      </c>
      <c r="Z228" s="43">
        <f t="shared" si="146"/>
        <v>144</v>
      </c>
      <c r="AA228" s="17">
        <f t="shared" si="117"/>
        <v>6.993006993006993E-3</v>
      </c>
      <c r="AB228" s="17">
        <f t="shared" si="118"/>
        <v>-0.1377245508982036</v>
      </c>
      <c r="AC228" s="17">
        <f t="shared" si="119"/>
        <v>-0.22580645161290322</v>
      </c>
    </row>
    <row r="229" spans="1:30" outlineLevel="5" x14ac:dyDescent="0.2">
      <c r="A229" s="8" t="s">
        <v>299</v>
      </c>
      <c r="B229" s="31" t="s">
        <v>300</v>
      </c>
      <c r="C229" s="21" t="s">
        <v>305</v>
      </c>
      <c r="D229" s="20" t="s">
        <v>306</v>
      </c>
      <c r="E229" s="12">
        <v>225</v>
      </c>
      <c r="F229" s="33">
        <v>3200</v>
      </c>
      <c r="G229" s="101">
        <v>78</v>
      </c>
      <c r="H229" s="101">
        <v>94</v>
      </c>
      <c r="I229" s="101">
        <v>93</v>
      </c>
      <c r="J229" s="101">
        <v>107</v>
      </c>
      <c r="K229" s="101">
        <v>105</v>
      </c>
      <c r="L229" s="101">
        <v>123</v>
      </c>
      <c r="M229" s="101">
        <v>126</v>
      </c>
      <c r="N229" s="15">
        <v>131</v>
      </c>
      <c r="O229" s="15">
        <v>141</v>
      </c>
      <c r="P229" s="15">
        <v>169</v>
      </c>
      <c r="Q229" s="15">
        <v>169</v>
      </c>
      <c r="R229" s="15">
        <v>143</v>
      </c>
      <c r="S229" s="15">
        <v>106</v>
      </c>
      <c r="T229" s="15">
        <v>105</v>
      </c>
      <c r="U229" s="15">
        <v>112</v>
      </c>
      <c r="V229" s="15">
        <f>116-1</f>
        <v>115</v>
      </c>
      <c r="W229" s="15">
        <v>117</v>
      </c>
      <c r="X229" s="15">
        <v>145</v>
      </c>
      <c r="Y229" s="15">
        <v>163</v>
      </c>
      <c r="Z229" s="34">
        <v>148</v>
      </c>
      <c r="AA229" s="17">
        <f t="shared" si="117"/>
        <v>-9.202453987730061E-2</v>
      </c>
      <c r="AB229" s="17">
        <f t="shared" si="118"/>
        <v>0.28695652173913044</v>
      </c>
      <c r="AC229" s="17">
        <f t="shared" si="119"/>
        <v>-0.1242603550295858</v>
      </c>
    </row>
    <row r="230" spans="1:30" s="44" customFormat="1" outlineLevel="4" x14ac:dyDescent="0.2">
      <c r="A230" s="22"/>
      <c r="B230" s="39" t="s">
        <v>307</v>
      </c>
      <c r="C230" s="19"/>
      <c r="D230" s="24"/>
      <c r="E230" s="25"/>
      <c r="F230" s="41"/>
      <c r="G230" s="102">
        <f t="shared" ref="G230:M230" si="147">SUBTOTAL(9,G226:G229)</f>
        <v>207</v>
      </c>
      <c r="H230" s="102">
        <f t="shared" si="147"/>
        <v>192</v>
      </c>
      <c r="I230" s="102">
        <f t="shared" si="147"/>
        <v>181</v>
      </c>
      <c r="J230" s="102">
        <f t="shared" si="147"/>
        <v>200</v>
      </c>
      <c r="K230" s="102">
        <f t="shared" si="147"/>
        <v>215</v>
      </c>
      <c r="L230" s="102">
        <f t="shared" si="147"/>
        <v>244</v>
      </c>
      <c r="M230" s="102">
        <f t="shared" si="147"/>
        <v>260</v>
      </c>
      <c r="N230" s="28">
        <f t="shared" ref="N230:W230" si="148">SUBTOTAL(9,N226:N229)</f>
        <v>286</v>
      </c>
      <c r="O230" s="28">
        <f t="shared" si="148"/>
        <v>305</v>
      </c>
      <c r="P230" s="28">
        <f t="shared" si="148"/>
        <v>355</v>
      </c>
      <c r="Q230" s="28">
        <f t="shared" si="148"/>
        <v>381</v>
      </c>
      <c r="R230" s="28">
        <f t="shared" si="148"/>
        <v>373</v>
      </c>
      <c r="S230" s="28">
        <f t="shared" si="148"/>
        <v>303</v>
      </c>
      <c r="T230" s="28">
        <f t="shared" si="148"/>
        <v>280</v>
      </c>
      <c r="U230" s="28">
        <f t="shared" si="148"/>
        <v>281</v>
      </c>
      <c r="V230" s="28">
        <f t="shared" si="148"/>
        <v>282</v>
      </c>
      <c r="W230" s="28">
        <f t="shared" si="148"/>
        <v>279</v>
      </c>
      <c r="X230" s="28">
        <f>SUBTOTAL(9,X226:X229)</f>
        <v>329</v>
      </c>
      <c r="Y230" s="28">
        <f>SUBTOTAL(9,Y226:Y229)</f>
        <v>306</v>
      </c>
      <c r="Z230" s="43">
        <f>SUBTOTAL(9,Z226:Z229)</f>
        <v>292</v>
      </c>
      <c r="AA230" s="17">
        <f t="shared" si="117"/>
        <v>-4.5751633986928102E-2</v>
      </c>
      <c r="AB230" s="17">
        <f t="shared" si="118"/>
        <v>3.5460992907801421E-2</v>
      </c>
      <c r="AC230" s="17">
        <f t="shared" si="119"/>
        <v>-0.17746478873239438</v>
      </c>
    </row>
    <row r="231" spans="1:30" outlineLevel="6" x14ac:dyDescent="0.2">
      <c r="A231" s="8" t="s">
        <v>299</v>
      </c>
      <c r="B231" s="31" t="s">
        <v>308</v>
      </c>
      <c r="C231" s="32" t="s">
        <v>309</v>
      </c>
      <c r="D231" s="20" t="s">
        <v>310</v>
      </c>
      <c r="E231" s="12">
        <v>233</v>
      </c>
      <c r="F231" s="33">
        <v>3500</v>
      </c>
      <c r="G231" s="101">
        <v>171</v>
      </c>
      <c r="H231" s="101">
        <v>180</v>
      </c>
      <c r="I231" s="101">
        <v>204</v>
      </c>
      <c r="J231" s="101">
        <v>189</v>
      </c>
      <c r="K231" s="101">
        <v>132</v>
      </c>
      <c r="L231" s="101">
        <v>107</v>
      </c>
      <c r="M231" s="101">
        <v>88</v>
      </c>
      <c r="N231" s="15">
        <v>70</v>
      </c>
      <c r="O231" s="15">
        <v>55</v>
      </c>
      <c r="P231" s="15">
        <v>55</v>
      </c>
      <c r="Q231" s="15">
        <v>50</v>
      </c>
      <c r="R231" s="15">
        <v>58</v>
      </c>
      <c r="S231" s="15">
        <v>50</v>
      </c>
      <c r="T231" s="15">
        <v>50</v>
      </c>
      <c r="U231" s="15">
        <v>40</v>
      </c>
      <c r="V231" s="15">
        <v>40</v>
      </c>
      <c r="W231" s="15">
        <f>41-1</f>
        <v>40</v>
      </c>
      <c r="X231" s="15">
        <v>56</v>
      </c>
      <c r="Y231" s="15">
        <v>63</v>
      </c>
      <c r="Z231" s="34">
        <v>47</v>
      </c>
      <c r="AA231" s="17">
        <f t="shared" si="117"/>
        <v>-0.25396825396825395</v>
      </c>
      <c r="AB231" s="17">
        <f t="shared" si="118"/>
        <v>0.17499999999999999</v>
      </c>
      <c r="AC231" s="17">
        <f t="shared" si="119"/>
        <v>-0.14545454545454545</v>
      </c>
    </row>
    <row r="232" spans="1:30" outlineLevel="6" x14ac:dyDescent="0.2">
      <c r="A232" s="8" t="s">
        <v>299</v>
      </c>
      <c r="B232" s="31" t="s">
        <v>308</v>
      </c>
      <c r="C232" s="32" t="s">
        <v>309</v>
      </c>
      <c r="D232" s="20" t="s">
        <v>469</v>
      </c>
      <c r="E232" s="12"/>
      <c r="F232" s="33">
        <v>3510</v>
      </c>
      <c r="G232" s="101"/>
      <c r="H232" s="101"/>
      <c r="I232" s="101"/>
      <c r="J232" s="101"/>
      <c r="K232" s="101"/>
      <c r="L232" s="101"/>
      <c r="M232" s="101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>
        <v>2</v>
      </c>
      <c r="Z232" s="34">
        <v>6</v>
      </c>
      <c r="AA232" s="17">
        <f t="shared" si="117"/>
        <v>2</v>
      </c>
      <c r="AB232" s="17" t="str">
        <f t="shared" si="118"/>
        <v/>
      </c>
      <c r="AC232" s="17" t="str">
        <f t="shared" si="119"/>
        <v/>
      </c>
    </row>
    <row r="233" spans="1:30" outlineLevel="6" x14ac:dyDescent="0.2">
      <c r="A233" s="8" t="s">
        <v>299</v>
      </c>
      <c r="B233" s="31" t="s">
        <v>308</v>
      </c>
      <c r="C233" s="32" t="s">
        <v>309</v>
      </c>
      <c r="D233" s="20" t="s">
        <v>501</v>
      </c>
      <c r="E233" s="12"/>
      <c r="F233" s="33">
        <v>3520</v>
      </c>
      <c r="G233" s="101"/>
      <c r="H233" s="101"/>
      <c r="I233" s="101"/>
      <c r="J233" s="101"/>
      <c r="K233" s="101"/>
      <c r="L233" s="101"/>
      <c r="M233" s="101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34">
        <v>4</v>
      </c>
      <c r="AA233" s="17"/>
      <c r="AB233" s="17" t="str">
        <f t="shared" si="118"/>
        <v/>
      </c>
      <c r="AC233" s="17" t="str">
        <f t="shared" si="119"/>
        <v/>
      </c>
    </row>
    <row r="234" spans="1:30" outlineLevel="5" x14ac:dyDescent="0.2">
      <c r="A234" s="8"/>
      <c r="B234" s="31"/>
      <c r="C234" s="40" t="s">
        <v>311</v>
      </c>
      <c r="D234" s="20"/>
      <c r="E234" s="12"/>
      <c r="F234" s="33"/>
      <c r="G234" s="101">
        <f t="shared" ref="G234:M234" si="149">SUBTOTAL(9,G231:G231)</f>
        <v>171</v>
      </c>
      <c r="H234" s="101">
        <f t="shared" si="149"/>
        <v>180</v>
      </c>
      <c r="I234" s="101">
        <f t="shared" si="149"/>
        <v>204</v>
      </c>
      <c r="J234" s="101">
        <f t="shared" si="149"/>
        <v>189</v>
      </c>
      <c r="K234" s="101">
        <f t="shared" si="149"/>
        <v>132</v>
      </c>
      <c r="L234" s="101">
        <f t="shared" si="149"/>
        <v>107</v>
      </c>
      <c r="M234" s="101">
        <f t="shared" si="149"/>
        <v>88</v>
      </c>
      <c r="N234" s="15">
        <f t="shared" ref="N234:X234" si="150">SUBTOTAL(9,N231:N231)</f>
        <v>70</v>
      </c>
      <c r="O234" s="15">
        <f t="shared" si="150"/>
        <v>55</v>
      </c>
      <c r="P234" s="15">
        <f t="shared" si="150"/>
        <v>55</v>
      </c>
      <c r="Q234" s="15">
        <f t="shared" si="150"/>
        <v>50</v>
      </c>
      <c r="R234" s="15">
        <f t="shared" si="150"/>
        <v>58</v>
      </c>
      <c r="S234" s="15">
        <f t="shared" si="150"/>
        <v>50</v>
      </c>
      <c r="T234" s="15">
        <f t="shared" si="150"/>
        <v>50</v>
      </c>
      <c r="U234" s="15">
        <f t="shared" si="150"/>
        <v>40</v>
      </c>
      <c r="V234" s="15">
        <f t="shared" si="150"/>
        <v>40</v>
      </c>
      <c r="W234" s="15">
        <f t="shared" si="150"/>
        <v>40</v>
      </c>
      <c r="X234" s="15">
        <f t="shared" si="150"/>
        <v>56</v>
      </c>
      <c r="Y234" s="15">
        <f>SUBTOTAL(9,Y231:Y232)</f>
        <v>65</v>
      </c>
      <c r="Z234" s="34">
        <f>SUBTOTAL(9,Z231:Z232)</f>
        <v>53</v>
      </c>
      <c r="AA234" s="17">
        <f t="shared" si="117"/>
        <v>-0.18461538461538463</v>
      </c>
      <c r="AB234" s="17">
        <f t="shared" si="118"/>
        <v>0.32500000000000001</v>
      </c>
      <c r="AC234" s="17">
        <f t="shared" si="119"/>
        <v>-3.6363636363636362E-2</v>
      </c>
    </row>
    <row r="235" spans="1:30" outlineLevel="6" x14ac:dyDescent="0.2">
      <c r="A235" s="8" t="s">
        <v>299</v>
      </c>
      <c r="B235" s="31" t="s">
        <v>308</v>
      </c>
      <c r="C235" s="32" t="s">
        <v>312</v>
      </c>
      <c r="D235" s="20" t="s">
        <v>313</v>
      </c>
      <c r="E235" s="12"/>
      <c r="F235" s="33">
        <v>3806</v>
      </c>
      <c r="G235" s="101"/>
      <c r="H235" s="101"/>
      <c r="I235" s="101"/>
      <c r="J235" s="101"/>
      <c r="K235" s="101"/>
      <c r="L235" s="101"/>
      <c r="M235" s="101"/>
      <c r="N235" s="15"/>
      <c r="O235" s="15"/>
      <c r="P235" s="15">
        <v>13</v>
      </c>
      <c r="Q235" s="15">
        <v>17</v>
      </c>
      <c r="R235" s="15">
        <v>14</v>
      </c>
      <c r="S235" s="15">
        <v>18</v>
      </c>
      <c r="T235" s="15">
        <v>17</v>
      </c>
      <c r="U235" s="15">
        <v>23</v>
      </c>
      <c r="V235" s="15">
        <v>26</v>
      </c>
      <c r="W235" s="15">
        <v>28</v>
      </c>
      <c r="X235" s="15">
        <v>52</v>
      </c>
      <c r="Y235" s="15">
        <v>29</v>
      </c>
      <c r="Z235" s="34">
        <v>21</v>
      </c>
      <c r="AA235" s="17">
        <f t="shared" si="117"/>
        <v>-0.27586206896551724</v>
      </c>
      <c r="AB235" s="17">
        <f t="shared" si="118"/>
        <v>-0.19230769230769232</v>
      </c>
      <c r="AC235" s="17">
        <f t="shared" si="119"/>
        <v>0.61538461538461542</v>
      </c>
    </row>
    <row r="236" spans="1:30" outlineLevel="6" x14ac:dyDescent="0.2">
      <c r="A236" s="8" t="s">
        <v>299</v>
      </c>
      <c r="B236" s="31" t="s">
        <v>308</v>
      </c>
      <c r="C236" s="32" t="s">
        <v>312</v>
      </c>
      <c r="D236" s="20" t="s">
        <v>450</v>
      </c>
      <c r="E236" s="12"/>
      <c r="F236" s="33">
        <v>3816</v>
      </c>
      <c r="G236" s="101"/>
      <c r="H236" s="101"/>
      <c r="I236" s="101"/>
      <c r="J236" s="101"/>
      <c r="K236" s="101"/>
      <c r="L236" s="101"/>
      <c r="M236" s="101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>
        <v>2</v>
      </c>
      <c r="Y236" s="15">
        <v>15</v>
      </c>
      <c r="Z236" s="34">
        <v>25</v>
      </c>
      <c r="AA236" s="17">
        <f t="shared" si="117"/>
        <v>0.66666666666666663</v>
      </c>
      <c r="AB236" s="17" t="str">
        <f t="shared" si="118"/>
        <v/>
      </c>
      <c r="AC236" s="17" t="str">
        <f t="shared" si="119"/>
        <v/>
      </c>
    </row>
    <row r="237" spans="1:30" outlineLevel="6" x14ac:dyDescent="0.2">
      <c r="A237" s="8" t="s">
        <v>299</v>
      </c>
      <c r="B237" s="31" t="s">
        <v>308</v>
      </c>
      <c r="C237" s="32" t="s">
        <v>312</v>
      </c>
      <c r="D237" s="20" t="s">
        <v>451</v>
      </c>
      <c r="E237" s="12"/>
      <c r="F237" s="33">
        <v>3826</v>
      </c>
      <c r="G237" s="101"/>
      <c r="H237" s="101"/>
      <c r="I237" s="101"/>
      <c r="J237" s="101"/>
      <c r="K237" s="101"/>
      <c r="L237" s="101"/>
      <c r="M237" s="101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>
        <v>1</v>
      </c>
      <c r="Y237" s="15">
        <v>3</v>
      </c>
      <c r="Z237" s="34">
        <v>2</v>
      </c>
      <c r="AA237" s="17">
        <f t="shared" si="117"/>
        <v>-0.33333333333333331</v>
      </c>
      <c r="AB237" s="17" t="str">
        <f t="shared" si="118"/>
        <v/>
      </c>
      <c r="AC237" s="17" t="str">
        <f t="shared" si="119"/>
        <v/>
      </c>
    </row>
    <row r="238" spans="1:30" outlineLevel="6" x14ac:dyDescent="0.2">
      <c r="A238" s="8" t="s">
        <v>299</v>
      </c>
      <c r="B238" s="31" t="s">
        <v>308</v>
      </c>
      <c r="C238" s="32" t="s">
        <v>312</v>
      </c>
      <c r="D238" s="20" t="s">
        <v>452</v>
      </c>
      <c r="E238" s="12"/>
      <c r="F238" s="33">
        <v>3836</v>
      </c>
      <c r="G238" s="101"/>
      <c r="H238" s="101"/>
      <c r="I238" s="101"/>
      <c r="J238" s="101"/>
      <c r="K238" s="101"/>
      <c r="L238" s="101"/>
      <c r="M238" s="101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>
        <v>1</v>
      </c>
      <c r="Y238" s="15">
        <v>7</v>
      </c>
      <c r="Z238" s="34">
        <v>13</v>
      </c>
      <c r="AA238" s="17">
        <f t="shared" si="117"/>
        <v>0.8571428571428571</v>
      </c>
      <c r="AB238" s="17" t="str">
        <f t="shared" si="118"/>
        <v/>
      </c>
      <c r="AC238" s="17" t="str">
        <f t="shared" si="119"/>
        <v/>
      </c>
    </row>
    <row r="239" spans="1:30" outlineLevel="5" x14ac:dyDescent="0.2">
      <c r="A239" s="8"/>
      <c r="B239" s="31"/>
      <c r="C239" s="40" t="s">
        <v>314</v>
      </c>
      <c r="D239" s="20"/>
      <c r="E239" s="12"/>
      <c r="F239" s="33"/>
      <c r="G239" s="101">
        <f t="shared" ref="G239:M239" si="151">SUBTOTAL(9,G235:G235)</f>
        <v>0</v>
      </c>
      <c r="H239" s="101">
        <f t="shared" si="151"/>
        <v>0</v>
      </c>
      <c r="I239" s="101">
        <f t="shared" si="151"/>
        <v>0</v>
      </c>
      <c r="J239" s="101">
        <f t="shared" si="151"/>
        <v>0</v>
      </c>
      <c r="K239" s="101">
        <f t="shared" si="151"/>
        <v>0</v>
      </c>
      <c r="L239" s="101">
        <f t="shared" si="151"/>
        <v>0</v>
      </c>
      <c r="M239" s="101">
        <f t="shared" si="151"/>
        <v>0</v>
      </c>
      <c r="N239" s="15">
        <f t="shared" ref="N239:W239" si="152">SUBTOTAL(9,N235:N235)</f>
        <v>0</v>
      </c>
      <c r="O239" s="15">
        <f t="shared" si="152"/>
        <v>0</v>
      </c>
      <c r="P239" s="15">
        <f t="shared" si="152"/>
        <v>13</v>
      </c>
      <c r="Q239" s="15">
        <f t="shared" si="152"/>
        <v>17</v>
      </c>
      <c r="R239" s="15">
        <f t="shared" si="152"/>
        <v>14</v>
      </c>
      <c r="S239" s="15">
        <f t="shared" si="152"/>
        <v>18</v>
      </c>
      <c r="T239" s="15">
        <f t="shared" si="152"/>
        <v>17</v>
      </c>
      <c r="U239" s="15">
        <f t="shared" si="152"/>
        <v>23</v>
      </c>
      <c r="V239" s="15">
        <f t="shared" si="152"/>
        <v>26</v>
      </c>
      <c r="W239" s="15">
        <f t="shared" si="152"/>
        <v>28</v>
      </c>
      <c r="X239" s="15">
        <f>SUBTOTAL(9,X235:X238)</f>
        <v>56</v>
      </c>
      <c r="Y239" s="15">
        <f>SUBTOTAL(9,Y235:Y238)</f>
        <v>54</v>
      </c>
      <c r="Z239" s="34">
        <f>SUBTOTAL(9,Z235:Z238)</f>
        <v>61</v>
      </c>
      <c r="AA239" s="17">
        <f t="shared" si="117"/>
        <v>0.12962962962962962</v>
      </c>
      <c r="AB239" s="17">
        <f t="shared" si="118"/>
        <v>1.3461538461538463</v>
      </c>
      <c r="AC239" s="17">
        <f t="shared" si="119"/>
        <v>3.6923076923076925</v>
      </c>
    </row>
    <row r="240" spans="1:30" s="44" customFormat="1" outlineLevel="4" x14ac:dyDescent="0.2">
      <c r="A240" s="22"/>
      <c r="B240" s="39" t="s">
        <v>315</v>
      </c>
      <c r="C240" s="40"/>
      <c r="D240" s="24"/>
      <c r="E240" s="25"/>
      <c r="F240" s="41"/>
      <c r="G240" s="102">
        <f t="shared" ref="G240:M240" si="153">SUBTOTAL(9,G231:G235)</f>
        <v>171</v>
      </c>
      <c r="H240" s="102">
        <f t="shared" si="153"/>
        <v>180</v>
      </c>
      <c r="I240" s="102">
        <f t="shared" si="153"/>
        <v>204</v>
      </c>
      <c r="J240" s="102">
        <f t="shared" si="153"/>
        <v>189</v>
      </c>
      <c r="K240" s="102">
        <f t="shared" si="153"/>
        <v>132</v>
      </c>
      <c r="L240" s="102">
        <f t="shared" si="153"/>
        <v>107</v>
      </c>
      <c r="M240" s="102">
        <f t="shared" si="153"/>
        <v>88</v>
      </c>
      <c r="N240" s="28">
        <f t="shared" ref="N240:W240" si="154">SUBTOTAL(9,N231:N235)</f>
        <v>70</v>
      </c>
      <c r="O240" s="28">
        <f t="shared" si="154"/>
        <v>55</v>
      </c>
      <c r="P240" s="28">
        <f t="shared" si="154"/>
        <v>68</v>
      </c>
      <c r="Q240" s="28">
        <f t="shared" si="154"/>
        <v>67</v>
      </c>
      <c r="R240" s="28">
        <f t="shared" si="154"/>
        <v>72</v>
      </c>
      <c r="S240" s="28">
        <f t="shared" si="154"/>
        <v>68</v>
      </c>
      <c r="T240" s="28">
        <f t="shared" si="154"/>
        <v>67</v>
      </c>
      <c r="U240" s="28">
        <f t="shared" si="154"/>
        <v>63</v>
      </c>
      <c r="V240" s="28">
        <f t="shared" si="154"/>
        <v>66</v>
      </c>
      <c r="W240" s="28">
        <f t="shared" si="154"/>
        <v>68</v>
      </c>
      <c r="X240" s="28">
        <f t="shared" ref="X240:Y240" si="155">SUBTOTAL(9,X231:X235)</f>
        <v>108</v>
      </c>
      <c r="Y240" s="28">
        <f t="shared" si="155"/>
        <v>94</v>
      </c>
      <c r="Z240" s="43">
        <f t="shared" ref="Z240" si="156">SUBTOTAL(9,Z231:Z235)</f>
        <v>78</v>
      </c>
      <c r="AA240" s="17">
        <f t="shared" si="117"/>
        <v>-0.1702127659574468</v>
      </c>
      <c r="AB240" s="17">
        <f t="shared" si="118"/>
        <v>0.18181818181818182</v>
      </c>
      <c r="AC240" s="17">
        <f t="shared" si="119"/>
        <v>0.14705882352941177</v>
      </c>
    </row>
    <row r="241" spans="1:29" outlineLevel="6" x14ac:dyDescent="0.2">
      <c r="A241" s="8" t="s">
        <v>299</v>
      </c>
      <c r="B241" s="31" t="s">
        <v>91</v>
      </c>
      <c r="C241" s="32" t="s">
        <v>91</v>
      </c>
      <c r="D241" s="66" t="s">
        <v>316</v>
      </c>
      <c r="E241" s="12">
        <v>271</v>
      </c>
      <c r="F241" s="33">
        <v>3700</v>
      </c>
      <c r="G241" s="101">
        <v>32</v>
      </c>
      <c r="H241" s="101">
        <v>46</v>
      </c>
      <c r="I241" s="101">
        <v>44</v>
      </c>
      <c r="J241" s="101">
        <v>60</v>
      </c>
      <c r="K241" s="101">
        <v>69</v>
      </c>
      <c r="L241" s="101">
        <v>36</v>
      </c>
      <c r="M241" s="101">
        <v>34</v>
      </c>
      <c r="N241" s="15">
        <v>25</v>
      </c>
      <c r="O241" s="15">
        <v>21</v>
      </c>
      <c r="P241" s="15">
        <v>21</v>
      </c>
      <c r="Q241" s="15">
        <v>21</v>
      </c>
      <c r="R241" s="15">
        <v>16</v>
      </c>
      <c r="S241" s="15">
        <v>14</v>
      </c>
      <c r="T241" s="15">
        <v>19</v>
      </c>
      <c r="U241" s="15">
        <v>19</v>
      </c>
      <c r="V241" s="15">
        <f>13-1</f>
        <v>12</v>
      </c>
      <c r="W241" s="15">
        <v>12</v>
      </c>
      <c r="X241" s="15">
        <v>8</v>
      </c>
      <c r="Y241" s="15">
        <v>19</v>
      </c>
      <c r="Z241" s="34">
        <v>21</v>
      </c>
      <c r="AA241" s="17">
        <f t="shared" si="117"/>
        <v>0.10526315789473684</v>
      </c>
      <c r="AB241" s="17">
        <f t="shared" si="118"/>
        <v>0.75</v>
      </c>
      <c r="AC241" s="17">
        <f t="shared" si="119"/>
        <v>0</v>
      </c>
    </row>
    <row r="242" spans="1:29" outlineLevel="6" x14ac:dyDescent="0.2">
      <c r="A242" s="8" t="s">
        <v>299</v>
      </c>
      <c r="B242" s="31" t="s">
        <v>91</v>
      </c>
      <c r="C242" s="32" t="s">
        <v>91</v>
      </c>
      <c r="D242" s="66" t="s">
        <v>317</v>
      </c>
      <c r="E242" s="12"/>
      <c r="F242" s="33">
        <v>3705</v>
      </c>
      <c r="G242" s="101"/>
      <c r="H242" s="101"/>
      <c r="I242" s="101"/>
      <c r="J242" s="101"/>
      <c r="K242" s="101"/>
      <c r="L242" s="101"/>
      <c r="M242" s="101"/>
      <c r="N242" s="15">
        <v>6</v>
      </c>
      <c r="O242" s="15">
        <v>13</v>
      </c>
      <c r="P242" s="15">
        <v>14</v>
      </c>
      <c r="Q242" s="15">
        <v>17</v>
      </c>
      <c r="R242" s="15">
        <v>14</v>
      </c>
      <c r="S242" s="15">
        <v>13</v>
      </c>
      <c r="T242" s="15">
        <v>9</v>
      </c>
      <c r="U242" s="15">
        <v>13</v>
      </c>
      <c r="V242" s="15">
        <v>12</v>
      </c>
      <c r="W242" s="15">
        <v>9</v>
      </c>
      <c r="X242" s="15">
        <v>8</v>
      </c>
      <c r="Y242" s="15">
        <v>9</v>
      </c>
      <c r="Z242" s="34">
        <v>7</v>
      </c>
      <c r="AA242" s="17">
        <f t="shared" si="117"/>
        <v>-0.22222222222222221</v>
      </c>
      <c r="AB242" s="17">
        <f t="shared" si="118"/>
        <v>-0.41666666666666669</v>
      </c>
      <c r="AC242" s="17">
        <f t="shared" si="119"/>
        <v>-0.5</v>
      </c>
    </row>
    <row r="243" spans="1:29" s="44" customFormat="1" outlineLevel="4" x14ac:dyDescent="0.2">
      <c r="A243" s="22"/>
      <c r="B243" s="39" t="s">
        <v>93</v>
      </c>
      <c r="C243" s="40"/>
      <c r="D243" s="67"/>
      <c r="E243" s="25"/>
      <c r="F243" s="41"/>
      <c r="G243" s="102">
        <f t="shared" ref="G243:M243" si="157">SUBTOTAL(9,G241:G242)</f>
        <v>32</v>
      </c>
      <c r="H243" s="102">
        <f t="shared" si="157"/>
        <v>46</v>
      </c>
      <c r="I243" s="102">
        <f t="shared" si="157"/>
        <v>44</v>
      </c>
      <c r="J243" s="102">
        <f t="shared" si="157"/>
        <v>60</v>
      </c>
      <c r="K243" s="102">
        <f t="shared" si="157"/>
        <v>69</v>
      </c>
      <c r="L243" s="102">
        <f t="shared" si="157"/>
        <v>36</v>
      </c>
      <c r="M243" s="102">
        <f t="shared" si="157"/>
        <v>34</v>
      </c>
      <c r="N243" s="28">
        <f t="shared" ref="N243:X243" si="158">SUBTOTAL(9,N241:N242)</f>
        <v>31</v>
      </c>
      <c r="O243" s="28">
        <f t="shared" si="158"/>
        <v>34</v>
      </c>
      <c r="P243" s="28">
        <f t="shared" si="158"/>
        <v>35</v>
      </c>
      <c r="Q243" s="28">
        <f t="shared" si="158"/>
        <v>38</v>
      </c>
      <c r="R243" s="28">
        <f t="shared" si="158"/>
        <v>30</v>
      </c>
      <c r="S243" s="28">
        <f t="shared" si="158"/>
        <v>27</v>
      </c>
      <c r="T243" s="28">
        <f t="shared" si="158"/>
        <v>28</v>
      </c>
      <c r="U243" s="28">
        <f t="shared" si="158"/>
        <v>32</v>
      </c>
      <c r="V243" s="28">
        <f t="shared" si="158"/>
        <v>24</v>
      </c>
      <c r="W243" s="28">
        <f t="shared" si="158"/>
        <v>21</v>
      </c>
      <c r="X243" s="28">
        <f t="shared" si="158"/>
        <v>16</v>
      </c>
      <c r="Y243" s="28">
        <f t="shared" ref="Y243:Z243" si="159">SUBTOTAL(9,Y241:Y242)</f>
        <v>28</v>
      </c>
      <c r="Z243" s="43">
        <f t="shared" si="159"/>
        <v>28</v>
      </c>
      <c r="AA243" s="17">
        <f t="shared" si="117"/>
        <v>0</v>
      </c>
      <c r="AB243" s="17">
        <f t="shared" si="118"/>
        <v>0.16666666666666666</v>
      </c>
      <c r="AC243" s="17">
        <f t="shared" si="119"/>
        <v>-0.2</v>
      </c>
    </row>
    <row r="244" spans="1:29" outlineLevel="6" x14ac:dyDescent="0.2">
      <c r="A244" s="8" t="s">
        <v>299</v>
      </c>
      <c r="B244" s="31" t="s">
        <v>318</v>
      </c>
      <c r="C244" s="68" t="s">
        <v>319</v>
      </c>
      <c r="D244" s="20" t="s">
        <v>320</v>
      </c>
      <c r="E244" s="12">
        <v>228</v>
      </c>
      <c r="F244" s="33">
        <v>3400</v>
      </c>
      <c r="G244" s="101">
        <v>38</v>
      </c>
      <c r="H244" s="101">
        <v>50</v>
      </c>
      <c r="I244" s="101">
        <v>40</v>
      </c>
      <c r="J244" s="101">
        <v>41</v>
      </c>
      <c r="K244" s="101">
        <v>44</v>
      </c>
      <c r="L244" s="101">
        <v>38</v>
      </c>
      <c r="M244" s="101">
        <v>39</v>
      </c>
      <c r="N244" s="15">
        <v>44</v>
      </c>
      <c r="O244" s="15">
        <v>47</v>
      </c>
      <c r="P244" s="15">
        <v>44</v>
      </c>
      <c r="Q244" s="15">
        <v>49</v>
      </c>
      <c r="R244" s="15">
        <v>45</v>
      </c>
      <c r="S244" s="15">
        <v>33</v>
      </c>
      <c r="T244" s="15">
        <v>48</v>
      </c>
      <c r="U244" s="15">
        <v>31</v>
      </c>
      <c r="V244" s="15">
        <f>50-1</f>
        <v>49</v>
      </c>
      <c r="W244" s="15">
        <v>51</v>
      </c>
      <c r="X244" s="15">
        <v>48</v>
      </c>
      <c r="Y244" s="15">
        <v>58</v>
      </c>
      <c r="Z244" s="34">
        <v>62</v>
      </c>
      <c r="AA244" s="17">
        <f t="shared" si="117"/>
        <v>6.8965517241379309E-2</v>
      </c>
      <c r="AB244" s="17">
        <f t="shared" si="118"/>
        <v>0.26530612244897961</v>
      </c>
      <c r="AC244" s="17">
        <f t="shared" si="119"/>
        <v>0.40909090909090912</v>
      </c>
    </row>
    <row r="245" spans="1:29" outlineLevel="5" x14ac:dyDescent="0.2">
      <c r="A245" s="8"/>
      <c r="B245" s="31"/>
      <c r="C245" s="40" t="s">
        <v>321</v>
      </c>
      <c r="D245" s="20"/>
      <c r="E245" s="12"/>
      <c r="F245" s="33"/>
      <c r="G245" s="101">
        <f t="shared" ref="G245:M245" si="160">SUBTOTAL(9,G244:G244)</f>
        <v>38</v>
      </c>
      <c r="H245" s="101">
        <f t="shared" si="160"/>
        <v>50</v>
      </c>
      <c r="I245" s="101">
        <f t="shared" si="160"/>
        <v>40</v>
      </c>
      <c r="J245" s="101">
        <f t="shared" si="160"/>
        <v>41</v>
      </c>
      <c r="K245" s="101">
        <f t="shared" si="160"/>
        <v>44</v>
      </c>
      <c r="L245" s="101">
        <f t="shared" si="160"/>
        <v>38</v>
      </c>
      <c r="M245" s="101">
        <f t="shared" si="160"/>
        <v>39</v>
      </c>
      <c r="N245" s="15">
        <f t="shared" ref="N245:X245" si="161">SUBTOTAL(9,N244:N244)</f>
        <v>44</v>
      </c>
      <c r="O245" s="15">
        <f t="shared" si="161"/>
        <v>47</v>
      </c>
      <c r="P245" s="15">
        <f t="shared" si="161"/>
        <v>44</v>
      </c>
      <c r="Q245" s="15">
        <f t="shared" si="161"/>
        <v>49</v>
      </c>
      <c r="R245" s="15">
        <f t="shared" si="161"/>
        <v>45</v>
      </c>
      <c r="S245" s="15">
        <f t="shared" si="161"/>
        <v>33</v>
      </c>
      <c r="T245" s="15">
        <f t="shared" si="161"/>
        <v>48</v>
      </c>
      <c r="U245" s="15">
        <f t="shared" si="161"/>
        <v>31</v>
      </c>
      <c r="V245" s="15">
        <f t="shared" si="161"/>
        <v>49</v>
      </c>
      <c r="W245" s="15">
        <f t="shared" si="161"/>
        <v>51</v>
      </c>
      <c r="X245" s="15">
        <f t="shared" si="161"/>
        <v>48</v>
      </c>
      <c r="Y245" s="15">
        <f t="shared" ref="Y245:Z245" si="162">SUBTOTAL(9,Y244:Y244)</f>
        <v>58</v>
      </c>
      <c r="Z245" s="34">
        <f t="shared" si="162"/>
        <v>62</v>
      </c>
      <c r="AA245" s="17">
        <f t="shared" si="117"/>
        <v>6.8965517241379309E-2</v>
      </c>
      <c r="AB245" s="17">
        <f t="shared" si="118"/>
        <v>0.26530612244897961</v>
      </c>
      <c r="AC245" s="17">
        <f t="shared" si="119"/>
        <v>0.40909090909090912</v>
      </c>
    </row>
    <row r="246" spans="1:29" outlineLevel="6" x14ac:dyDescent="0.2">
      <c r="A246" s="8" t="s">
        <v>299</v>
      </c>
      <c r="B246" s="31" t="s">
        <v>318</v>
      </c>
      <c r="C246" s="32" t="s">
        <v>322</v>
      </c>
      <c r="D246" s="20" t="s">
        <v>323</v>
      </c>
      <c r="E246" s="12">
        <v>205</v>
      </c>
      <c r="F246" s="33">
        <v>3300</v>
      </c>
      <c r="G246" s="101">
        <v>36</v>
      </c>
      <c r="H246" s="101">
        <v>39</v>
      </c>
      <c r="I246" s="101">
        <v>59</v>
      </c>
      <c r="J246" s="101">
        <v>75</v>
      </c>
      <c r="K246" s="101">
        <v>69</v>
      </c>
      <c r="L246" s="101">
        <v>88</v>
      </c>
      <c r="M246" s="101">
        <v>99</v>
      </c>
      <c r="N246" s="15">
        <v>113</v>
      </c>
      <c r="O246" s="15">
        <v>92</v>
      </c>
      <c r="P246" s="15">
        <v>115</v>
      </c>
      <c r="Q246" s="15">
        <v>101</v>
      </c>
      <c r="R246" s="15">
        <v>107</v>
      </c>
      <c r="S246" s="15">
        <v>78</v>
      </c>
      <c r="T246" s="15">
        <v>84</v>
      </c>
      <c r="U246" s="15">
        <v>79</v>
      </c>
      <c r="V246" s="15">
        <f>83-1</f>
        <v>82</v>
      </c>
      <c r="W246" s="15">
        <f>73-1</f>
        <v>72</v>
      </c>
      <c r="X246" s="15">
        <v>72</v>
      </c>
      <c r="Y246" s="15">
        <v>75</v>
      </c>
      <c r="Z246" s="34">
        <v>62</v>
      </c>
      <c r="AA246" s="17">
        <f t="shared" si="117"/>
        <v>-0.17333333333333334</v>
      </c>
      <c r="AB246" s="17">
        <f t="shared" si="118"/>
        <v>-0.24390243902439024</v>
      </c>
      <c r="AC246" s="17">
        <f t="shared" si="119"/>
        <v>-0.46086956521739131</v>
      </c>
    </row>
    <row r="247" spans="1:29" outlineLevel="6" x14ac:dyDescent="0.2">
      <c r="A247" s="8" t="s">
        <v>299</v>
      </c>
      <c r="B247" s="31" t="s">
        <v>318</v>
      </c>
      <c r="C247" s="32" t="s">
        <v>322</v>
      </c>
      <c r="D247" s="20" t="s">
        <v>324</v>
      </c>
      <c r="E247" s="12">
        <v>200</v>
      </c>
      <c r="F247" s="33"/>
      <c r="G247" s="101"/>
      <c r="H247" s="101"/>
      <c r="I247" s="101"/>
      <c r="J247" s="101"/>
      <c r="K247" s="101"/>
      <c r="L247" s="101"/>
      <c r="M247" s="101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34"/>
      <c r="AA247" s="17" t="str">
        <f t="shared" si="117"/>
        <v/>
      </c>
      <c r="AB247" s="17" t="str">
        <f t="shared" si="118"/>
        <v/>
      </c>
      <c r="AC247" s="17" t="str">
        <f t="shared" si="119"/>
        <v/>
      </c>
    </row>
    <row r="248" spans="1:29" outlineLevel="6" x14ac:dyDescent="0.2">
      <c r="A248" s="8" t="s">
        <v>299</v>
      </c>
      <c r="B248" s="31" t="s">
        <v>318</v>
      </c>
      <c r="C248" s="32" t="s">
        <v>322</v>
      </c>
      <c r="D248" s="20" t="s">
        <v>325</v>
      </c>
      <c r="E248" s="12" t="s">
        <v>326</v>
      </c>
      <c r="F248" s="33"/>
      <c r="G248" s="101"/>
      <c r="H248" s="101"/>
      <c r="I248" s="101"/>
      <c r="J248" s="101"/>
      <c r="K248" s="101"/>
      <c r="L248" s="101"/>
      <c r="M248" s="101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34"/>
      <c r="AA248" s="17" t="str">
        <f t="shared" si="117"/>
        <v/>
      </c>
      <c r="AB248" s="17" t="str">
        <f t="shared" si="118"/>
        <v/>
      </c>
      <c r="AC248" s="17" t="str">
        <f t="shared" si="119"/>
        <v/>
      </c>
    </row>
    <row r="249" spans="1:29" outlineLevel="5" x14ac:dyDescent="0.2">
      <c r="A249" s="8"/>
      <c r="B249" s="31"/>
      <c r="C249" s="40" t="s">
        <v>327</v>
      </c>
      <c r="D249" s="20"/>
      <c r="E249" s="12"/>
      <c r="F249" s="33"/>
      <c r="G249" s="101">
        <f t="shared" ref="G249:M249" si="163">SUBTOTAL(9,G246:G248)</f>
        <v>36</v>
      </c>
      <c r="H249" s="101">
        <f t="shared" si="163"/>
        <v>39</v>
      </c>
      <c r="I249" s="101">
        <f t="shared" si="163"/>
        <v>59</v>
      </c>
      <c r="J249" s="101">
        <f t="shared" si="163"/>
        <v>75</v>
      </c>
      <c r="K249" s="101">
        <f t="shared" si="163"/>
        <v>69</v>
      </c>
      <c r="L249" s="101">
        <f t="shared" si="163"/>
        <v>88</v>
      </c>
      <c r="M249" s="101">
        <f t="shared" si="163"/>
        <v>99</v>
      </c>
      <c r="N249" s="15">
        <f t="shared" ref="N249:X249" si="164">SUBTOTAL(9,N246:N248)</f>
        <v>113</v>
      </c>
      <c r="O249" s="15">
        <f t="shared" si="164"/>
        <v>92</v>
      </c>
      <c r="P249" s="15">
        <f t="shared" si="164"/>
        <v>115</v>
      </c>
      <c r="Q249" s="15">
        <f t="shared" si="164"/>
        <v>101</v>
      </c>
      <c r="R249" s="15">
        <f t="shared" si="164"/>
        <v>107</v>
      </c>
      <c r="S249" s="15">
        <f t="shared" si="164"/>
        <v>78</v>
      </c>
      <c r="T249" s="15">
        <f t="shared" si="164"/>
        <v>84</v>
      </c>
      <c r="U249" s="15">
        <f t="shared" si="164"/>
        <v>79</v>
      </c>
      <c r="V249" s="15">
        <f t="shared" si="164"/>
        <v>82</v>
      </c>
      <c r="W249" s="15">
        <f t="shared" si="164"/>
        <v>72</v>
      </c>
      <c r="X249" s="15">
        <f t="shared" si="164"/>
        <v>72</v>
      </c>
      <c r="Y249" s="15">
        <f t="shared" ref="Y249:Z249" si="165">SUBTOTAL(9,Y246:Y248)</f>
        <v>75</v>
      </c>
      <c r="Z249" s="34">
        <f t="shared" si="165"/>
        <v>62</v>
      </c>
      <c r="AA249" s="17">
        <f t="shared" si="117"/>
        <v>-0.17333333333333334</v>
      </c>
      <c r="AB249" s="17">
        <f t="shared" si="118"/>
        <v>-0.24390243902439024</v>
      </c>
      <c r="AC249" s="17">
        <f t="shared" si="119"/>
        <v>-0.46086956521739131</v>
      </c>
    </row>
    <row r="250" spans="1:29" outlineLevel="5" x14ac:dyDescent="0.2">
      <c r="A250" s="8" t="s">
        <v>299</v>
      </c>
      <c r="B250" s="31" t="s">
        <v>318</v>
      </c>
      <c r="C250" s="32"/>
      <c r="D250" s="20" t="s">
        <v>328</v>
      </c>
      <c r="E250" s="12">
        <v>201</v>
      </c>
      <c r="F250" s="33"/>
      <c r="G250" s="101"/>
      <c r="H250" s="101"/>
      <c r="I250" s="101"/>
      <c r="J250" s="101"/>
      <c r="K250" s="101"/>
      <c r="L250" s="101"/>
      <c r="M250" s="101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34"/>
      <c r="AA250" s="17" t="str">
        <f t="shared" si="117"/>
        <v/>
      </c>
      <c r="AB250" s="17" t="str">
        <f t="shared" si="118"/>
        <v/>
      </c>
      <c r="AC250" s="17" t="str">
        <f t="shared" si="119"/>
        <v/>
      </c>
    </row>
    <row r="251" spans="1:29" s="51" customFormat="1" outlineLevel="6" x14ac:dyDescent="0.2">
      <c r="A251" s="8" t="s">
        <v>299</v>
      </c>
      <c r="B251" s="31" t="s">
        <v>318</v>
      </c>
      <c r="C251" s="32" t="s">
        <v>329</v>
      </c>
      <c r="D251" s="20" t="s">
        <v>330</v>
      </c>
      <c r="E251" s="12">
        <v>236</v>
      </c>
      <c r="F251" s="33">
        <v>3600</v>
      </c>
      <c r="G251" s="101">
        <v>109</v>
      </c>
      <c r="H251" s="101">
        <v>109</v>
      </c>
      <c r="I251" s="101">
        <v>109</v>
      </c>
      <c r="J251" s="101">
        <v>100</v>
      </c>
      <c r="K251" s="101">
        <v>126</v>
      </c>
      <c r="L251" s="101">
        <v>128</v>
      </c>
      <c r="M251" s="101">
        <v>141</v>
      </c>
      <c r="N251" s="15">
        <v>123</v>
      </c>
      <c r="O251" s="15">
        <v>120</v>
      </c>
      <c r="P251" s="15">
        <v>139</v>
      </c>
      <c r="Q251" s="15">
        <v>140</v>
      </c>
      <c r="R251" s="15">
        <v>146</v>
      </c>
      <c r="S251" s="15">
        <v>124</v>
      </c>
      <c r="T251" s="15">
        <v>111</v>
      </c>
      <c r="U251" s="15">
        <v>80</v>
      </c>
      <c r="V251" s="15">
        <v>99</v>
      </c>
      <c r="W251" s="15">
        <v>113</v>
      </c>
      <c r="X251" s="15">
        <v>146</v>
      </c>
      <c r="Y251" s="15">
        <v>124</v>
      </c>
      <c r="Z251" s="34">
        <v>115</v>
      </c>
      <c r="AA251" s="17">
        <f t="shared" si="117"/>
        <v>-7.2580645161290328E-2</v>
      </c>
      <c r="AB251" s="17">
        <f t="shared" si="118"/>
        <v>0.16161616161616163</v>
      </c>
      <c r="AC251" s="17">
        <f t="shared" si="119"/>
        <v>-0.17266187050359713</v>
      </c>
    </row>
    <row r="252" spans="1:29" s="51" customFormat="1" outlineLevel="5" x14ac:dyDescent="0.2">
      <c r="A252" s="8"/>
      <c r="B252" s="31"/>
      <c r="C252" s="40" t="s">
        <v>331</v>
      </c>
      <c r="D252" s="20"/>
      <c r="E252" s="12"/>
      <c r="F252" s="33"/>
      <c r="G252" s="101">
        <f t="shared" ref="G252:M252" si="166">SUBTOTAL(9,G251:G251)</f>
        <v>109</v>
      </c>
      <c r="H252" s="101">
        <f t="shared" si="166"/>
        <v>109</v>
      </c>
      <c r="I252" s="101">
        <f t="shared" si="166"/>
        <v>109</v>
      </c>
      <c r="J252" s="101">
        <f t="shared" si="166"/>
        <v>100</v>
      </c>
      <c r="K252" s="101">
        <f t="shared" si="166"/>
        <v>126</v>
      </c>
      <c r="L252" s="101">
        <f t="shared" si="166"/>
        <v>128</v>
      </c>
      <c r="M252" s="101">
        <f t="shared" si="166"/>
        <v>141</v>
      </c>
      <c r="N252" s="15">
        <f t="shared" ref="N252:X252" si="167">SUBTOTAL(9,N251:N251)</f>
        <v>123</v>
      </c>
      <c r="O252" s="15">
        <f t="shared" si="167"/>
        <v>120</v>
      </c>
      <c r="P252" s="15">
        <f t="shared" si="167"/>
        <v>139</v>
      </c>
      <c r="Q252" s="15">
        <f t="shared" si="167"/>
        <v>140</v>
      </c>
      <c r="R252" s="15">
        <f t="shared" si="167"/>
        <v>146</v>
      </c>
      <c r="S252" s="15">
        <f t="shared" si="167"/>
        <v>124</v>
      </c>
      <c r="T252" s="15">
        <f t="shared" si="167"/>
        <v>111</v>
      </c>
      <c r="U252" s="15">
        <f t="shared" si="167"/>
        <v>80</v>
      </c>
      <c r="V252" s="15">
        <f t="shared" si="167"/>
        <v>99</v>
      </c>
      <c r="W252" s="15">
        <f t="shared" si="167"/>
        <v>113</v>
      </c>
      <c r="X252" s="15">
        <f t="shared" si="167"/>
        <v>146</v>
      </c>
      <c r="Y252" s="15">
        <f t="shared" ref="Y252:Z252" si="168">SUBTOTAL(9,Y251:Y251)</f>
        <v>124</v>
      </c>
      <c r="Z252" s="34">
        <f t="shared" si="168"/>
        <v>115</v>
      </c>
      <c r="AA252" s="17">
        <f t="shared" si="117"/>
        <v>-7.2580645161290328E-2</v>
      </c>
      <c r="AB252" s="17">
        <f t="shared" si="118"/>
        <v>0.16161616161616163</v>
      </c>
      <c r="AC252" s="17">
        <f t="shared" si="119"/>
        <v>-0.17266187050359713</v>
      </c>
    </row>
    <row r="253" spans="1:29" s="44" customFormat="1" outlineLevel="4" x14ac:dyDescent="0.2">
      <c r="A253" s="22"/>
      <c r="B253" s="39" t="s">
        <v>332</v>
      </c>
      <c r="C253" s="40"/>
      <c r="D253" s="24"/>
      <c r="E253" s="25"/>
      <c r="F253" s="41"/>
      <c r="G253" s="102">
        <f t="shared" ref="G253:M253" si="169">SUBTOTAL(9,G244:G251)</f>
        <v>183</v>
      </c>
      <c r="H253" s="102">
        <f t="shared" si="169"/>
        <v>198</v>
      </c>
      <c r="I253" s="102">
        <f t="shared" si="169"/>
        <v>208</v>
      </c>
      <c r="J253" s="102">
        <f t="shared" si="169"/>
        <v>216</v>
      </c>
      <c r="K253" s="102">
        <f t="shared" si="169"/>
        <v>239</v>
      </c>
      <c r="L253" s="102">
        <f t="shared" si="169"/>
        <v>254</v>
      </c>
      <c r="M253" s="102">
        <f t="shared" si="169"/>
        <v>279</v>
      </c>
      <c r="N253" s="28">
        <f t="shared" ref="N253:X253" si="170">SUBTOTAL(9,N244:N251)</f>
        <v>280</v>
      </c>
      <c r="O253" s="28">
        <f t="shared" si="170"/>
        <v>259</v>
      </c>
      <c r="P253" s="28">
        <f>SUBTOTAL(9,P244:P251)</f>
        <v>298</v>
      </c>
      <c r="Q253" s="28">
        <f t="shared" si="170"/>
        <v>290</v>
      </c>
      <c r="R253" s="28">
        <f t="shared" si="170"/>
        <v>298</v>
      </c>
      <c r="S253" s="28">
        <f t="shared" si="170"/>
        <v>235</v>
      </c>
      <c r="T253" s="28">
        <f t="shared" si="170"/>
        <v>243</v>
      </c>
      <c r="U253" s="28">
        <f t="shared" si="170"/>
        <v>190</v>
      </c>
      <c r="V253" s="28">
        <f t="shared" si="170"/>
        <v>230</v>
      </c>
      <c r="W253" s="28">
        <f t="shared" si="170"/>
        <v>236</v>
      </c>
      <c r="X253" s="28">
        <f t="shared" si="170"/>
        <v>266</v>
      </c>
      <c r="Y253" s="28">
        <f t="shared" ref="Y253:Z253" si="171">SUBTOTAL(9,Y244:Y251)</f>
        <v>257</v>
      </c>
      <c r="Z253" s="43">
        <f t="shared" si="171"/>
        <v>239</v>
      </c>
      <c r="AA253" s="17">
        <f t="shared" si="117"/>
        <v>-7.0038910505836577E-2</v>
      </c>
      <c r="AB253" s="17">
        <f t="shared" si="118"/>
        <v>3.9130434782608699E-2</v>
      </c>
      <c r="AC253" s="17">
        <f t="shared" si="119"/>
        <v>-0.19798657718120805</v>
      </c>
    </row>
    <row r="254" spans="1:29" s="51" customFormat="1" outlineLevel="4" x14ac:dyDescent="0.2">
      <c r="A254" s="112"/>
      <c r="B254" s="45"/>
      <c r="C254" s="68"/>
      <c r="D254" s="20" t="s">
        <v>502</v>
      </c>
      <c r="E254" s="12"/>
      <c r="F254" s="33">
        <v>3030</v>
      </c>
      <c r="G254" s="101"/>
      <c r="H254" s="101"/>
      <c r="I254" s="101"/>
      <c r="J254" s="101"/>
      <c r="K254" s="101"/>
      <c r="L254" s="101"/>
      <c r="M254" s="101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34">
        <v>25</v>
      </c>
      <c r="AA254" s="113"/>
      <c r="AB254" s="113"/>
      <c r="AC254" s="113"/>
    </row>
    <row r="255" spans="1:29" s="51" customFormat="1" outlineLevel="4" x14ac:dyDescent="0.2">
      <c r="A255" s="112"/>
      <c r="B255" s="45"/>
      <c r="C255" s="68"/>
      <c r="D255" s="20"/>
      <c r="E255" s="12"/>
      <c r="F255" s="33"/>
      <c r="G255" s="101"/>
      <c r="H255" s="101"/>
      <c r="I255" s="101"/>
      <c r="J255" s="101"/>
      <c r="K255" s="101"/>
      <c r="L255" s="101"/>
      <c r="M255" s="101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34"/>
      <c r="AA255" s="113"/>
      <c r="AB255" s="113"/>
      <c r="AC255" s="113"/>
    </row>
    <row r="256" spans="1:29" outlineLevel="6" x14ac:dyDescent="0.2">
      <c r="A256" s="8" t="s">
        <v>299</v>
      </c>
      <c r="B256" s="31" t="s">
        <v>275</v>
      </c>
      <c r="C256" s="32" t="s">
        <v>275</v>
      </c>
      <c r="D256" s="20" t="s">
        <v>282</v>
      </c>
      <c r="E256" s="12"/>
      <c r="F256" s="46" t="s">
        <v>283</v>
      </c>
      <c r="G256" s="101"/>
      <c r="H256" s="101"/>
      <c r="I256" s="101"/>
      <c r="J256" s="101"/>
      <c r="K256" s="101"/>
      <c r="L256" s="101"/>
      <c r="M256" s="101"/>
      <c r="N256" s="15"/>
      <c r="O256" s="15">
        <v>1</v>
      </c>
      <c r="P256" s="15">
        <v>0</v>
      </c>
      <c r="Q256" s="15">
        <v>0</v>
      </c>
      <c r="R256" s="15">
        <v>0</v>
      </c>
      <c r="S256" s="15">
        <v>14</v>
      </c>
      <c r="T256" s="15">
        <v>7</v>
      </c>
      <c r="U256" s="15">
        <v>2</v>
      </c>
      <c r="V256" s="15">
        <v>2</v>
      </c>
      <c r="W256" s="15">
        <v>2</v>
      </c>
      <c r="X256" s="15">
        <v>2</v>
      </c>
      <c r="Y256" s="15"/>
      <c r="Z256" s="34"/>
      <c r="AA256" s="17" t="str">
        <f t="shared" si="117"/>
        <v/>
      </c>
      <c r="AB256" s="17">
        <f t="shared" si="118"/>
        <v>-1</v>
      </c>
      <c r="AC256" s="17" t="str">
        <f t="shared" si="119"/>
        <v/>
      </c>
    </row>
    <row r="257" spans="1:29" outlineLevel="6" x14ac:dyDescent="0.2">
      <c r="A257" s="8" t="s">
        <v>299</v>
      </c>
      <c r="B257" s="31" t="s">
        <v>275</v>
      </c>
      <c r="C257" s="32" t="s">
        <v>275</v>
      </c>
      <c r="D257" s="20" t="s">
        <v>333</v>
      </c>
      <c r="E257" s="12">
        <v>30</v>
      </c>
      <c r="F257" s="33">
        <v>3010</v>
      </c>
      <c r="G257" s="101">
        <v>310</v>
      </c>
      <c r="H257" s="101">
        <v>378</v>
      </c>
      <c r="I257" s="101">
        <v>457</v>
      </c>
      <c r="J257" s="101">
        <v>617</v>
      </c>
      <c r="K257" s="101">
        <v>755</v>
      </c>
      <c r="L257" s="101">
        <v>740</v>
      </c>
      <c r="M257" s="101">
        <v>642</v>
      </c>
      <c r="N257" s="15">
        <v>549</v>
      </c>
      <c r="O257" s="15">
        <v>603</v>
      </c>
      <c r="P257" s="15">
        <v>459</v>
      </c>
      <c r="Q257" s="15">
        <v>384</v>
      </c>
      <c r="R257" s="15">
        <v>341</v>
      </c>
      <c r="S257" s="15">
        <v>345</v>
      </c>
      <c r="T257" s="15">
        <v>346</v>
      </c>
      <c r="U257" s="15">
        <v>364</v>
      </c>
      <c r="V257" s="15">
        <f>392-22</f>
        <v>370</v>
      </c>
      <c r="W257" s="15">
        <f>425-20</f>
        <v>405</v>
      </c>
      <c r="X257" s="15">
        <v>384</v>
      </c>
      <c r="Y257" s="15">
        <v>329</v>
      </c>
      <c r="Z257" s="34">
        <v>336</v>
      </c>
      <c r="AA257" s="17">
        <f t="shared" si="117"/>
        <v>2.1276595744680851E-2</v>
      </c>
      <c r="AB257" s="17">
        <f t="shared" si="118"/>
        <v>-9.1891891891891897E-2</v>
      </c>
      <c r="AC257" s="17">
        <f t="shared" si="119"/>
        <v>-0.26797385620915032</v>
      </c>
    </row>
    <row r="258" spans="1:29" outlineLevel="6" x14ac:dyDescent="0.2">
      <c r="A258" s="8" t="s">
        <v>299</v>
      </c>
      <c r="B258" s="31" t="s">
        <v>275</v>
      </c>
      <c r="C258" s="32" t="s">
        <v>275</v>
      </c>
      <c r="D258" s="20" t="s">
        <v>334</v>
      </c>
      <c r="E258" s="12">
        <v>202</v>
      </c>
      <c r="F258" s="33">
        <v>3020</v>
      </c>
      <c r="G258" s="101">
        <v>901</v>
      </c>
      <c r="H258" s="101">
        <v>910</v>
      </c>
      <c r="I258" s="101">
        <v>865</v>
      </c>
      <c r="J258" s="101">
        <v>767</v>
      </c>
      <c r="K258" s="101">
        <v>772</v>
      </c>
      <c r="L258" s="101">
        <v>775</v>
      </c>
      <c r="M258" s="101">
        <v>907</v>
      </c>
      <c r="N258" s="15">
        <v>957</v>
      </c>
      <c r="O258" s="15">
        <v>930</v>
      </c>
      <c r="P258" s="15">
        <v>945</v>
      </c>
      <c r="Q258" s="15">
        <v>949</v>
      </c>
      <c r="R258" s="15">
        <v>953</v>
      </c>
      <c r="S258" s="15">
        <v>1077</v>
      </c>
      <c r="T258" s="15">
        <v>1121</v>
      </c>
      <c r="U258" s="15">
        <v>1284</v>
      </c>
      <c r="V258" s="15">
        <f>1429-43</f>
        <v>1386</v>
      </c>
      <c r="W258" s="15">
        <f>1524-28</f>
        <v>1496</v>
      </c>
      <c r="X258" s="15">
        <v>1436</v>
      </c>
      <c r="Y258" s="15">
        <v>1447</v>
      </c>
      <c r="Z258" s="34">
        <v>1359</v>
      </c>
      <c r="AA258" s="17">
        <f t="shared" si="117"/>
        <v>-6.08154803040774E-2</v>
      </c>
      <c r="AB258" s="17">
        <f t="shared" si="118"/>
        <v>-1.948051948051948E-2</v>
      </c>
      <c r="AC258" s="17">
        <f t="shared" si="119"/>
        <v>0.43809523809523809</v>
      </c>
    </row>
    <row r="259" spans="1:29" outlineLevel="6" x14ac:dyDescent="0.2">
      <c r="A259" s="8" t="s">
        <v>299</v>
      </c>
      <c r="B259" s="31" t="s">
        <v>275</v>
      </c>
      <c r="C259" s="32" t="s">
        <v>275</v>
      </c>
      <c r="D259" s="20" t="s">
        <v>335</v>
      </c>
      <c r="E259" s="12">
        <v>203</v>
      </c>
      <c r="F259" s="33"/>
      <c r="G259" s="101"/>
      <c r="H259" s="101"/>
      <c r="I259" s="101"/>
      <c r="J259" s="101"/>
      <c r="K259" s="101"/>
      <c r="L259" s="101"/>
      <c r="M259" s="101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34"/>
      <c r="AA259" s="17" t="str">
        <f t="shared" si="117"/>
        <v/>
      </c>
      <c r="AB259" s="17" t="str">
        <f t="shared" si="118"/>
        <v/>
      </c>
      <c r="AC259" s="17" t="str">
        <f t="shared" si="119"/>
        <v/>
      </c>
    </row>
    <row r="260" spans="1:29" s="47" customFormat="1" outlineLevel="6" x14ac:dyDescent="0.2">
      <c r="A260" s="8" t="s">
        <v>299</v>
      </c>
      <c r="B260" s="31" t="s">
        <v>275</v>
      </c>
      <c r="C260" s="32" t="s">
        <v>275</v>
      </c>
      <c r="D260" s="20" t="s">
        <v>336</v>
      </c>
      <c r="E260" s="12"/>
      <c r="F260" s="33">
        <v>3900</v>
      </c>
      <c r="G260" s="101">
        <v>1</v>
      </c>
      <c r="H260" s="101"/>
      <c r="I260" s="101"/>
      <c r="J260" s="101"/>
      <c r="K260" s="101">
        <v>1</v>
      </c>
      <c r="L260" s="101">
        <v>1</v>
      </c>
      <c r="M260" s="101"/>
      <c r="N260" s="15">
        <v>0</v>
      </c>
      <c r="O260" s="15">
        <v>0</v>
      </c>
      <c r="P260" s="15">
        <v>0</v>
      </c>
      <c r="Q260" s="15">
        <v>0</v>
      </c>
      <c r="R260" s="15">
        <v>1</v>
      </c>
      <c r="S260" s="15">
        <v>0</v>
      </c>
      <c r="T260" s="15">
        <v>0</v>
      </c>
      <c r="U260" s="15">
        <v>0</v>
      </c>
      <c r="V260" s="15"/>
      <c r="W260" s="15"/>
      <c r="X260" s="15"/>
      <c r="Y260" s="15"/>
      <c r="Z260" s="34"/>
      <c r="AA260" s="17" t="str">
        <f t="shared" si="117"/>
        <v/>
      </c>
      <c r="AB260" s="17" t="str">
        <f t="shared" si="118"/>
        <v/>
      </c>
      <c r="AC260" s="17" t="str">
        <f t="shared" si="119"/>
        <v/>
      </c>
    </row>
    <row r="261" spans="1:29" s="48" customFormat="1" outlineLevel="4" x14ac:dyDescent="0.2">
      <c r="A261" s="22"/>
      <c r="B261" s="39" t="s">
        <v>290</v>
      </c>
      <c r="C261" s="40"/>
      <c r="D261" s="24"/>
      <c r="E261" s="25"/>
      <c r="F261" s="41"/>
      <c r="G261" s="102">
        <f t="shared" ref="G261:M261" si="172">SUBTOTAL(9,G256:G260)</f>
        <v>1212</v>
      </c>
      <c r="H261" s="102">
        <f t="shared" si="172"/>
        <v>1288</v>
      </c>
      <c r="I261" s="102">
        <f t="shared" si="172"/>
        <v>1322</v>
      </c>
      <c r="J261" s="102">
        <f t="shared" si="172"/>
        <v>1384</v>
      </c>
      <c r="K261" s="102">
        <f t="shared" si="172"/>
        <v>1528</v>
      </c>
      <c r="L261" s="102">
        <f t="shared" si="172"/>
        <v>1516</v>
      </c>
      <c r="M261" s="102">
        <f t="shared" si="172"/>
        <v>1549</v>
      </c>
      <c r="N261" s="28">
        <f t="shared" ref="N261:X261" si="173">SUBTOTAL(9,N256:N260)</f>
        <v>1506</v>
      </c>
      <c r="O261" s="28">
        <f t="shared" si="173"/>
        <v>1534</v>
      </c>
      <c r="P261" s="28">
        <f t="shared" si="173"/>
        <v>1404</v>
      </c>
      <c r="Q261" s="28">
        <f t="shared" si="173"/>
        <v>1333</v>
      </c>
      <c r="R261" s="28">
        <f t="shared" si="173"/>
        <v>1295</v>
      </c>
      <c r="S261" s="28">
        <f t="shared" si="173"/>
        <v>1436</v>
      </c>
      <c r="T261" s="28">
        <f t="shared" si="173"/>
        <v>1474</v>
      </c>
      <c r="U261" s="28">
        <f t="shared" si="173"/>
        <v>1650</v>
      </c>
      <c r="V261" s="28">
        <f t="shared" si="173"/>
        <v>1758</v>
      </c>
      <c r="W261" s="28">
        <f t="shared" si="173"/>
        <v>1903</v>
      </c>
      <c r="X261" s="28">
        <f t="shared" si="173"/>
        <v>1822</v>
      </c>
      <c r="Y261" s="28">
        <f t="shared" ref="Y261" si="174">SUBTOTAL(9,Y256:Y260)</f>
        <v>1776</v>
      </c>
      <c r="Z261" s="43">
        <f>SUBTOTAL(9,Z256:Z260)</f>
        <v>1695</v>
      </c>
      <c r="AA261" s="17">
        <f t="shared" si="117"/>
        <v>-4.5608108108108107E-2</v>
      </c>
      <c r="AB261" s="17">
        <f t="shared" si="118"/>
        <v>-3.5836177474402729E-2</v>
      </c>
      <c r="AC261" s="17">
        <f t="shared" si="119"/>
        <v>0.20726495726495728</v>
      </c>
    </row>
    <row r="262" spans="1:29" ht="12.75" customHeight="1" outlineLevel="4" x14ac:dyDescent="0.2">
      <c r="A262" s="8" t="s">
        <v>299</v>
      </c>
      <c r="B262" s="9"/>
      <c r="C262" s="10"/>
      <c r="D262" s="20" t="s">
        <v>337</v>
      </c>
      <c r="E262" s="12"/>
      <c r="F262" s="33">
        <v>3550</v>
      </c>
      <c r="G262" s="101"/>
      <c r="H262" s="101"/>
      <c r="I262" s="101"/>
      <c r="J262" s="101"/>
      <c r="K262" s="101"/>
      <c r="L262" s="101"/>
      <c r="M262" s="101"/>
      <c r="N262" s="15"/>
      <c r="O262" s="15"/>
      <c r="P262" s="15">
        <v>0</v>
      </c>
      <c r="Q262" s="15">
        <v>0</v>
      </c>
      <c r="R262" s="15">
        <v>0</v>
      </c>
      <c r="S262" s="15"/>
      <c r="T262" s="15"/>
      <c r="U262" s="15"/>
      <c r="V262" s="15"/>
      <c r="W262" s="15"/>
      <c r="X262" s="15"/>
      <c r="Y262" s="15"/>
      <c r="Z262" s="34"/>
      <c r="AA262" s="17" t="str">
        <f t="shared" si="117"/>
        <v/>
      </c>
      <c r="AB262" s="17" t="str">
        <f t="shared" si="118"/>
        <v/>
      </c>
      <c r="AC262" s="17" t="str">
        <f t="shared" si="119"/>
        <v/>
      </c>
    </row>
    <row r="263" spans="1:29" s="44" customFormat="1" ht="12.75" customHeight="1" outlineLevel="3" x14ac:dyDescent="0.2">
      <c r="A263" s="22" t="s">
        <v>338</v>
      </c>
      <c r="B263" s="23"/>
      <c r="C263" s="19"/>
      <c r="D263" s="24"/>
      <c r="E263" s="25"/>
      <c r="F263" s="41"/>
      <c r="G263" s="102">
        <f t="shared" ref="G263:M263" si="175">SUBTOTAL(9,G226:G262)</f>
        <v>1805</v>
      </c>
      <c r="H263" s="102">
        <f t="shared" si="175"/>
        <v>1904</v>
      </c>
      <c r="I263" s="102">
        <f t="shared" si="175"/>
        <v>1959</v>
      </c>
      <c r="J263" s="102">
        <f t="shared" si="175"/>
        <v>2049</v>
      </c>
      <c r="K263" s="102">
        <f t="shared" si="175"/>
        <v>2183</v>
      </c>
      <c r="L263" s="102">
        <f t="shared" si="175"/>
        <v>2157</v>
      </c>
      <c r="M263" s="102">
        <f t="shared" si="175"/>
        <v>2210</v>
      </c>
      <c r="N263" s="28">
        <f t="shared" ref="N263:X263" si="176">SUBTOTAL(9,N226:N262)</f>
        <v>2173</v>
      </c>
      <c r="O263" s="28">
        <f t="shared" si="176"/>
        <v>2187</v>
      </c>
      <c r="P263" s="28">
        <f t="shared" si="176"/>
        <v>2160</v>
      </c>
      <c r="Q263" s="28">
        <f t="shared" si="176"/>
        <v>2109</v>
      </c>
      <c r="R263" s="28">
        <f t="shared" si="176"/>
        <v>2068</v>
      </c>
      <c r="S263" s="28">
        <f t="shared" si="176"/>
        <v>2069</v>
      </c>
      <c r="T263" s="28">
        <f t="shared" si="176"/>
        <v>2092</v>
      </c>
      <c r="U263" s="28">
        <f t="shared" si="176"/>
        <v>2216</v>
      </c>
      <c r="V263" s="28">
        <f t="shared" si="176"/>
        <v>2360</v>
      </c>
      <c r="W263" s="28">
        <f t="shared" si="176"/>
        <v>2507</v>
      </c>
      <c r="X263" s="28">
        <f t="shared" si="176"/>
        <v>2545</v>
      </c>
      <c r="Y263" s="28">
        <f t="shared" ref="Y263" si="177">SUBTOTAL(9,Y226:Y262)</f>
        <v>2486</v>
      </c>
      <c r="Z263" s="43">
        <f>SUBTOTAL(9,Z226:Z262)</f>
        <v>2397</v>
      </c>
      <c r="AA263" s="17">
        <f t="shared" si="117"/>
        <v>-3.5800482703137571E-2</v>
      </c>
      <c r="AB263" s="17">
        <f t="shared" si="118"/>
        <v>1.5677966101694914E-2</v>
      </c>
      <c r="AC263" s="17">
        <f t="shared" si="119"/>
        <v>0.10972222222222222</v>
      </c>
    </row>
    <row r="264" spans="1:29" outlineLevel="6" x14ac:dyDescent="0.2">
      <c r="A264" s="69" t="s">
        <v>339</v>
      </c>
      <c r="B264" s="31" t="s">
        <v>339</v>
      </c>
      <c r="C264" s="32" t="s">
        <v>339</v>
      </c>
      <c r="D264" s="20" t="s">
        <v>340</v>
      </c>
      <c r="E264" s="12">
        <v>902</v>
      </c>
      <c r="F264" s="33">
        <v>4100</v>
      </c>
      <c r="G264" s="101">
        <v>188</v>
      </c>
      <c r="H264" s="101">
        <v>303</v>
      </c>
      <c r="I264" s="101">
        <v>354</v>
      </c>
      <c r="J264" s="101">
        <v>345</v>
      </c>
      <c r="K264" s="101">
        <v>282</v>
      </c>
      <c r="L264" s="101">
        <v>309</v>
      </c>
      <c r="M264" s="101">
        <v>278</v>
      </c>
      <c r="N264" s="15">
        <v>216</v>
      </c>
      <c r="O264" s="15">
        <v>171</v>
      </c>
      <c r="P264" s="15">
        <v>126</v>
      </c>
      <c r="Q264" s="15">
        <v>146</v>
      </c>
      <c r="R264" s="15">
        <v>48</v>
      </c>
      <c r="S264" s="15">
        <v>19</v>
      </c>
      <c r="T264" s="15">
        <v>2</v>
      </c>
      <c r="U264" s="15">
        <v>1</v>
      </c>
      <c r="V264" s="15"/>
      <c r="W264" s="15"/>
      <c r="X264" s="15"/>
      <c r="Y264" s="15"/>
      <c r="Z264" s="34"/>
      <c r="AA264" s="17" t="str">
        <f t="shared" si="117"/>
        <v/>
      </c>
      <c r="AB264" s="17" t="str">
        <f t="shared" si="118"/>
        <v/>
      </c>
      <c r="AC264" s="17">
        <f t="shared" si="119"/>
        <v>-1</v>
      </c>
    </row>
    <row r="265" spans="1:29" outlineLevel="6" x14ac:dyDescent="0.2">
      <c r="A265" s="69" t="s">
        <v>339</v>
      </c>
      <c r="B265" s="31" t="s">
        <v>339</v>
      </c>
      <c r="C265" s="32" t="s">
        <v>339</v>
      </c>
      <c r="D265" s="20" t="s">
        <v>341</v>
      </c>
      <c r="E265" s="12">
        <v>904</v>
      </c>
      <c r="F265" s="33">
        <v>4110</v>
      </c>
      <c r="G265" s="101">
        <v>617</v>
      </c>
      <c r="H265" s="101">
        <v>675</v>
      </c>
      <c r="I265" s="101">
        <v>766</v>
      </c>
      <c r="J265" s="101">
        <v>802</v>
      </c>
      <c r="K265" s="101">
        <v>840</v>
      </c>
      <c r="L265" s="101">
        <v>742</v>
      </c>
      <c r="M265" s="101">
        <v>611</v>
      </c>
      <c r="N265" s="15">
        <v>528</v>
      </c>
      <c r="O265" s="15">
        <v>494</v>
      </c>
      <c r="P265" s="15">
        <v>473</v>
      </c>
      <c r="Q265" s="15">
        <v>492</v>
      </c>
      <c r="R265" s="15">
        <v>629</v>
      </c>
      <c r="S265" s="15">
        <v>607</v>
      </c>
      <c r="T265" s="15">
        <v>510</v>
      </c>
      <c r="U265" s="15">
        <v>458</v>
      </c>
      <c r="V265" s="15">
        <f>407-9</f>
        <v>398</v>
      </c>
      <c r="W265" s="15">
        <f>343-6</f>
        <v>337</v>
      </c>
      <c r="X265" s="15">
        <v>349</v>
      </c>
      <c r="Y265" s="15">
        <v>345</v>
      </c>
      <c r="Z265" s="34">
        <v>259</v>
      </c>
      <c r="AA265" s="17">
        <f t="shared" si="117"/>
        <v>-0.24927536231884059</v>
      </c>
      <c r="AB265" s="17">
        <f t="shared" si="118"/>
        <v>-0.34924623115577891</v>
      </c>
      <c r="AC265" s="17">
        <f t="shared" si="119"/>
        <v>-0.45243128964059198</v>
      </c>
    </row>
    <row r="266" spans="1:29" outlineLevel="6" x14ac:dyDescent="0.2">
      <c r="A266" s="69" t="s">
        <v>339</v>
      </c>
      <c r="B266" s="31" t="s">
        <v>339</v>
      </c>
      <c r="C266" s="32" t="s">
        <v>339</v>
      </c>
      <c r="D266" s="20" t="s">
        <v>342</v>
      </c>
      <c r="E266" s="12">
        <v>905</v>
      </c>
      <c r="F266" s="33">
        <v>4120</v>
      </c>
      <c r="G266" s="101">
        <v>671</v>
      </c>
      <c r="H266" s="101">
        <v>647</v>
      </c>
      <c r="I266" s="101">
        <v>640</v>
      </c>
      <c r="J266" s="101">
        <v>603</v>
      </c>
      <c r="K266" s="101">
        <v>591</v>
      </c>
      <c r="L266" s="101">
        <v>558</v>
      </c>
      <c r="M266" s="101">
        <v>549</v>
      </c>
      <c r="N266" s="15">
        <v>563</v>
      </c>
      <c r="O266" s="15">
        <v>492</v>
      </c>
      <c r="P266" s="15">
        <v>497</v>
      </c>
      <c r="Q266" s="15">
        <v>445</v>
      </c>
      <c r="R266" s="15">
        <v>411</v>
      </c>
      <c r="S266" s="15">
        <v>412</v>
      </c>
      <c r="T266" s="15">
        <v>461</v>
      </c>
      <c r="U266" s="15">
        <v>424</v>
      </c>
      <c r="V266" s="15">
        <f>402-1</f>
        <v>401</v>
      </c>
      <c r="W266" s="15">
        <f>421-1</f>
        <v>420</v>
      </c>
      <c r="X266" s="15">
        <v>348</v>
      </c>
      <c r="Y266" s="15">
        <v>297</v>
      </c>
      <c r="Z266" s="34">
        <v>350</v>
      </c>
      <c r="AA266" s="17">
        <f t="shared" si="117"/>
        <v>0.17845117845117844</v>
      </c>
      <c r="AB266" s="17">
        <f t="shared" si="118"/>
        <v>-0.12718204488778054</v>
      </c>
      <c r="AC266" s="17">
        <f t="shared" si="119"/>
        <v>-0.29577464788732394</v>
      </c>
    </row>
    <row r="267" spans="1:29" outlineLevel="5" x14ac:dyDescent="0.2">
      <c r="A267" s="69"/>
      <c r="B267" s="31"/>
      <c r="C267" s="40" t="s">
        <v>343</v>
      </c>
      <c r="D267" s="20"/>
      <c r="E267" s="12"/>
      <c r="F267" s="33"/>
      <c r="G267" s="101">
        <f t="shared" ref="G267:M267" si="178">SUBTOTAL(9,G264:G266)</f>
        <v>1476</v>
      </c>
      <c r="H267" s="101">
        <f t="shared" si="178"/>
        <v>1625</v>
      </c>
      <c r="I267" s="101">
        <f t="shared" si="178"/>
        <v>1760</v>
      </c>
      <c r="J267" s="101">
        <f t="shared" si="178"/>
        <v>1750</v>
      </c>
      <c r="K267" s="101">
        <f t="shared" si="178"/>
        <v>1713</v>
      </c>
      <c r="L267" s="101">
        <f t="shared" si="178"/>
        <v>1609</v>
      </c>
      <c r="M267" s="101">
        <f t="shared" si="178"/>
        <v>1438</v>
      </c>
      <c r="N267" s="15">
        <f t="shared" ref="N267:X267" si="179">SUBTOTAL(9,N264:N266)</f>
        <v>1307</v>
      </c>
      <c r="O267" s="15">
        <f t="shared" si="179"/>
        <v>1157</v>
      </c>
      <c r="P267" s="15">
        <f t="shared" si="179"/>
        <v>1096</v>
      </c>
      <c r="Q267" s="15">
        <f t="shared" si="179"/>
        <v>1083</v>
      </c>
      <c r="R267" s="15">
        <f t="shared" si="179"/>
        <v>1088</v>
      </c>
      <c r="S267" s="15">
        <f t="shared" si="179"/>
        <v>1038</v>
      </c>
      <c r="T267" s="15">
        <f t="shared" si="179"/>
        <v>973</v>
      </c>
      <c r="U267" s="15">
        <f t="shared" si="179"/>
        <v>883</v>
      </c>
      <c r="V267" s="15">
        <f t="shared" si="179"/>
        <v>799</v>
      </c>
      <c r="W267" s="15">
        <f t="shared" si="179"/>
        <v>757</v>
      </c>
      <c r="X267" s="15">
        <f t="shared" si="179"/>
        <v>697</v>
      </c>
      <c r="Y267" s="15">
        <f t="shared" ref="Y267:Z267" si="180">SUBTOTAL(9,Y264:Y266)</f>
        <v>642</v>
      </c>
      <c r="Z267" s="34">
        <f t="shared" si="180"/>
        <v>609</v>
      </c>
      <c r="AA267" s="17">
        <f t="shared" si="117"/>
        <v>-5.1401869158878503E-2</v>
      </c>
      <c r="AB267" s="17">
        <f t="shared" si="118"/>
        <v>-0.23779724655819776</v>
      </c>
      <c r="AC267" s="17">
        <f t="shared" si="119"/>
        <v>-0.44434306569343068</v>
      </c>
    </row>
    <row r="268" spans="1:29" s="47" customFormat="1" ht="12.75" customHeight="1" outlineLevel="5" x14ac:dyDescent="0.2">
      <c r="A268" s="69" t="s">
        <v>339</v>
      </c>
      <c r="B268" s="31" t="s">
        <v>339</v>
      </c>
      <c r="C268" s="32"/>
      <c r="D268" s="20" t="s">
        <v>344</v>
      </c>
      <c r="E268" s="12">
        <v>904</v>
      </c>
      <c r="F268" s="33">
        <v>4210</v>
      </c>
      <c r="G268" s="101"/>
      <c r="H268" s="101">
        <v>1</v>
      </c>
      <c r="I268" s="101"/>
      <c r="J268" s="101"/>
      <c r="K268" s="101"/>
      <c r="L268" s="101"/>
      <c r="M268" s="101"/>
      <c r="N268" s="15"/>
      <c r="O268" s="70"/>
      <c r="P268" s="70"/>
      <c r="Q268" s="52"/>
      <c r="R268" s="52"/>
      <c r="S268" s="52"/>
      <c r="T268" s="52"/>
      <c r="U268" s="52"/>
      <c r="V268" s="52"/>
      <c r="W268" s="52"/>
      <c r="X268" s="52"/>
      <c r="Y268" s="52"/>
      <c r="Z268" s="53"/>
      <c r="AA268" s="17" t="str">
        <f t="shared" ref="AA268:AA329" si="181">IF(Y268&gt;0, (Z268-Y268)/Y268, "")</f>
        <v/>
      </c>
      <c r="AB268" s="17" t="str">
        <f t="shared" ref="AB268:AB288" si="182">IF(V268&gt;0, (Z268-V268)/V268, "")</f>
        <v/>
      </c>
      <c r="AC268" s="17" t="str">
        <f t="shared" ref="AC268:AC329" si="183">IF(P268&gt;0, (Z268-P268)/P268, "")</f>
        <v/>
      </c>
    </row>
    <row r="269" spans="1:29" s="47" customFormat="1" ht="12.75" customHeight="1" outlineLevel="5" x14ac:dyDescent="0.2">
      <c r="A269" s="69" t="s">
        <v>339</v>
      </c>
      <c r="B269" s="31" t="s">
        <v>339</v>
      </c>
      <c r="C269" s="32"/>
      <c r="D269" s="20" t="s">
        <v>345</v>
      </c>
      <c r="E269" s="12">
        <v>720</v>
      </c>
      <c r="F269" s="33"/>
      <c r="G269" s="101"/>
      <c r="H269" s="101"/>
      <c r="I269" s="101"/>
      <c r="J269" s="101"/>
      <c r="K269" s="101"/>
      <c r="L269" s="101"/>
      <c r="M269" s="101"/>
      <c r="N269" s="15"/>
      <c r="O269" s="70"/>
      <c r="P269" s="70"/>
      <c r="Q269" s="52"/>
      <c r="R269" s="52"/>
      <c r="S269" s="52"/>
      <c r="T269" s="52"/>
      <c r="U269" s="52"/>
      <c r="V269" s="52"/>
      <c r="W269" s="52"/>
      <c r="X269" s="52"/>
      <c r="Y269" s="52"/>
      <c r="Z269" s="53"/>
      <c r="AA269" s="17" t="str">
        <f t="shared" si="181"/>
        <v/>
      </c>
      <c r="AB269" s="17" t="str">
        <f t="shared" si="182"/>
        <v/>
      </c>
      <c r="AC269" s="17" t="str">
        <f t="shared" si="183"/>
        <v/>
      </c>
    </row>
    <row r="270" spans="1:29" s="47" customFormat="1" ht="12.75" customHeight="1" outlineLevel="5" x14ac:dyDescent="0.2">
      <c r="A270" s="69" t="s">
        <v>339</v>
      </c>
      <c r="B270" s="31" t="s">
        <v>339</v>
      </c>
      <c r="C270" s="32"/>
      <c r="D270" s="20" t="s">
        <v>346</v>
      </c>
      <c r="E270" s="12"/>
      <c r="F270" s="33">
        <v>4220</v>
      </c>
      <c r="G270" s="101">
        <v>34</v>
      </c>
      <c r="H270" s="101">
        <v>2</v>
      </c>
      <c r="I270" s="101"/>
      <c r="J270" s="101"/>
      <c r="K270" s="101"/>
      <c r="L270" s="101">
        <v>2</v>
      </c>
      <c r="M270" s="101">
        <v>4</v>
      </c>
      <c r="N270" s="15"/>
      <c r="O270" s="70"/>
      <c r="P270" s="70"/>
      <c r="Q270" s="52"/>
      <c r="R270" s="52"/>
      <c r="S270" s="52"/>
      <c r="T270" s="52"/>
      <c r="U270" s="52"/>
      <c r="V270" s="52"/>
      <c r="W270" s="52"/>
      <c r="X270" s="52"/>
      <c r="Y270" s="52"/>
      <c r="Z270" s="53"/>
      <c r="AA270" s="17" t="str">
        <f t="shared" si="181"/>
        <v/>
      </c>
      <c r="AB270" s="17" t="str">
        <f t="shared" si="182"/>
        <v/>
      </c>
      <c r="AC270" s="17" t="str">
        <f t="shared" si="183"/>
        <v/>
      </c>
    </row>
    <row r="271" spans="1:29" s="47" customFormat="1" ht="12.75" customHeight="1" outlineLevel="5" x14ac:dyDescent="0.2">
      <c r="A271" s="69" t="s">
        <v>339</v>
      </c>
      <c r="B271" s="31" t="s">
        <v>339</v>
      </c>
      <c r="C271" s="32"/>
      <c r="D271" s="20" t="s">
        <v>347</v>
      </c>
      <c r="E271" s="12"/>
      <c r="F271" s="33"/>
      <c r="G271" s="101"/>
      <c r="H271" s="101"/>
      <c r="I271" s="101"/>
      <c r="J271" s="101"/>
      <c r="K271" s="101"/>
      <c r="L271" s="101"/>
      <c r="M271" s="101"/>
      <c r="N271" s="15"/>
      <c r="O271" s="70"/>
      <c r="P271" s="70"/>
      <c r="Q271" s="52"/>
      <c r="R271" s="52"/>
      <c r="S271" s="52"/>
      <c r="T271" s="52"/>
      <c r="U271" s="52"/>
      <c r="V271" s="52"/>
      <c r="W271" s="52"/>
      <c r="X271" s="52"/>
      <c r="Y271" s="52"/>
      <c r="Z271" s="53"/>
      <c r="AA271" s="17" t="str">
        <f t="shared" si="181"/>
        <v/>
      </c>
      <c r="AB271" s="17" t="str">
        <f t="shared" si="182"/>
        <v/>
      </c>
      <c r="AC271" s="17" t="str">
        <f t="shared" si="183"/>
        <v/>
      </c>
    </row>
    <row r="272" spans="1:29" s="72" customFormat="1" ht="12.75" customHeight="1" outlineLevel="4" x14ac:dyDescent="0.2">
      <c r="A272" s="71"/>
      <c r="B272" s="39" t="s">
        <v>343</v>
      </c>
      <c r="C272" s="68"/>
      <c r="D272" s="20"/>
      <c r="E272" s="12"/>
      <c r="F272" s="33"/>
      <c r="G272" s="101">
        <f t="shared" ref="G272:M272" si="184">SUBTOTAL(9,G264:G271)</f>
        <v>1510</v>
      </c>
      <c r="H272" s="101">
        <f t="shared" si="184"/>
        <v>1628</v>
      </c>
      <c r="I272" s="101">
        <f t="shared" si="184"/>
        <v>1760</v>
      </c>
      <c r="J272" s="101">
        <f t="shared" si="184"/>
        <v>1750</v>
      </c>
      <c r="K272" s="101">
        <f t="shared" si="184"/>
        <v>1713</v>
      </c>
      <c r="L272" s="101">
        <f t="shared" si="184"/>
        <v>1611</v>
      </c>
      <c r="M272" s="101">
        <f t="shared" si="184"/>
        <v>1442</v>
      </c>
      <c r="N272" s="15">
        <f t="shared" ref="N272:X272" si="185">SUBTOTAL(9,N264:N271)</f>
        <v>1307</v>
      </c>
      <c r="O272" s="15">
        <f t="shared" si="185"/>
        <v>1157</v>
      </c>
      <c r="P272" s="15">
        <f t="shared" si="185"/>
        <v>1096</v>
      </c>
      <c r="Q272" s="15">
        <f t="shared" si="185"/>
        <v>1083</v>
      </c>
      <c r="R272" s="15">
        <f t="shared" si="185"/>
        <v>1088</v>
      </c>
      <c r="S272" s="15">
        <f t="shared" si="185"/>
        <v>1038</v>
      </c>
      <c r="T272" s="15">
        <f t="shared" si="185"/>
        <v>973</v>
      </c>
      <c r="U272" s="15">
        <f t="shared" si="185"/>
        <v>883</v>
      </c>
      <c r="V272" s="15">
        <f t="shared" si="185"/>
        <v>799</v>
      </c>
      <c r="W272" s="15">
        <f t="shared" si="185"/>
        <v>757</v>
      </c>
      <c r="X272" s="15">
        <f t="shared" si="185"/>
        <v>697</v>
      </c>
      <c r="Y272" s="15">
        <f t="shared" ref="Y272" si="186">SUBTOTAL(9,Y264:Y271)</f>
        <v>642</v>
      </c>
      <c r="Z272" s="34"/>
      <c r="AA272" s="17">
        <f t="shared" si="181"/>
        <v>-1</v>
      </c>
      <c r="AB272" s="17">
        <f t="shared" si="182"/>
        <v>-1</v>
      </c>
      <c r="AC272" s="17">
        <f t="shared" si="183"/>
        <v>-1</v>
      </c>
    </row>
    <row r="273" spans="1:29" outlineLevel="6" x14ac:dyDescent="0.2">
      <c r="A273" s="69" t="s">
        <v>339</v>
      </c>
      <c r="B273" s="31" t="s">
        <v>348</v>
      </c>
      <c r="C273" s="32" t="s">
        <v>348</v>
      </c>
      <c r="D273" s="66" t="s">
        <v>349</v>
      </c>
      <c r="E273" s="12">
        <v>71</v>
      </c>
      <c r="F273" s="33">
        <v>4300</v>
      </c>
      <c r="G273" s="101">
        <v>14</v>
      </c>
      <c r="H273" s="101">
        <v>18</v>
      </c>
      <c r="I273" s="101">
        <v>19</v>
      </c>
      <c r="J273" s="101">
        <v>25</v>
      </c>
      <c r="K273" s="101">
        <v>22</v>
      </c>
      <c r="L273" s="101">
        <v>25</v>
      </c>
      <c r="M273" s="101">
        <v>29</v>
      </c>
      <c r="N273" s="15">
        <v>33</v>
      </c>
      <c r="O273" s="15">
        <v>25</v>
      </c>
      <c r="P273" s="15">
        <v>20</v>
      </c>
      <c r="Q273" s="15">
        <v>31</v>
      </c>
      <c r="R273" s="15">
        <v>15</v>
      </c>
      <c r="S273" s="15">
        <v>23</v>
      </c>
      <c r="T273" s="15">
        <v>21</v>
      </c>
      <c r="U273" s="15">
        <v>20</v>
      </c>
      <c r="V273" s="15">
        <v>11</v>
      </c>
      <c r="W273" s="15">
        <f>21-2</f>
        <v>19</v>
      </c>
      <c r="X273" s="15">
        <v>20</v>
      </c>
      <c r="Y273" s="15">
        <v>18</v>
      </c>
      <c r="Z273" s="34">
        <v>10</v>
      </c>
      <c r="AA273" s="17">
        <f t="shared" si="181"/>
        <v>-0.44444444444444442</v>
      </c>
      <c r="AB273" s="17">
        <f t="shared" si="182"/>
        <v>-9.0909090909090912E-2</v>
      </c>
      <c r="AC273" s="17">
        <f t="shared" si="183"/>
        <v>-0.5</v>
      </c>
    </row>
    <row r="274" spans="1:29" outlineLevel="6" x14ac:dyDescent="0.2">
      <c r="A274" s="69" t="s">
        <v>339</v>
      </c>
      <c r="B274" s="31" t="s">
        <v>348</v>
      </c>
      <c r="C274" s="32" t="s">
        <v>348</v>
      </c>
      <c r="D274" s="20" t="s">
        <v>350</v>
      </c>
      <c r="E274" s="12">
        <v>880</v>
      </c>
      <c r="F274" s="33">
        <v>4310</v>
      </c>
      <c r="G274" s="101">
        <v>325</v>
      </c>
      <c r="H274" s="101">
        <v>215</v>
      </c>
      <c r="I274" s="101">
        <v>157</v>
      </c>
      <c r="J274" s="101">
        <v>133</v>
      </c>
      <c r="K274" s="101">
        <v>139</v>
      </c>
      <c r="L274" s="101">
        <v>154</v>
      </c>
      <c r="M274" s="101">
        <v>173</v>
      </c>
      <c r="N274" s="15">
        <v>135</v>
      </c>
      <c r="O274" s="15">
        <v>153</v>
      </c>
      <c r="P274" s="15">
        <v>155</v>
      </c>
      <c r="Q274" s="15">
        <v>156</v>
      </c>
      <c r="R274" s="15">
        <v>130</v>
      </c>
      <c r="S274" s="15">
        <v>143</v>
      </c>
      <c r="T274" s="15">
        <v>190</v>
      </c>
      <c r="U274" s="15">
        <v>205</v>
      </c>
      <c r="V274" s="15">
        <f>236-4</f>
        <v>232</v>
      </c>
      <c r="W274" s="15">
        <f>245-4</f>
        <v>241</v>
      </c>
      <c r="X274" s="15">
        <v>256</v>
      </c>
      <c r="Y274" s="15">
        <v>267</v>
      </c>
      <c r="Z274" s="34">
        <v>285</v>
      </c>
      <c r="AA274" s="17">
        <f t="shared" si="181"/>
        <v>6.741573033707865E-2</v>
      </c>
      <c r="AB274" s="17">
        <f t="shared" si="182"/>
        <v>0.22844827586206898</v>
      </c>
      <c r="AC274" s="17">
        <f t="shared" si="183"/>
        <v>0.83870967741935487</v>
      </c>
    </row>
    <row r="275" spans="1:29" outlineLevel="6" x14ac:dyDescent="0.2">
      <c r="A275" s="69" t="s">
        <v>339</v>
      </c>
      <c r="B275" s="31" t="s">
        <v>348</v>
      </c>
      <c r="C275" s="32" t="s">
        <v>348</v>
      </c>
      <c r="D275" s="66" t="s">
        <v>351</v>
      </c>
      <c r="E275" s="12">
        <v>980</v>
      </c>
      <c r="F275" s="33">
        <v>4320</v>
      </c>
      <c r="G275" s="101">
        <v>7</v>
      </c>
      <c r="H275" s="101">
        <v>85</v>
      </c>
      <c r="I275" s="101">
        <v>120</v>
      </c>
      <c r="J275" s="101">
        <v>130</v>
      </c>
      <c r="K275" s="101">
        <v>127</v>
      </c>
      <c r="L275" s="101">
        <v>110</v>
      </c>
      <c r="M275" s="101">
        <v>94</v>
      </c>
      <c r="N275" s="15">
        <v>121</v>
      </c>
      <c r="O275" s="15">
        <v>114</v>
      </c>
      <c r="P275" s="15">
        <v>114</v>
      </c>
      <c r="Q275" s="15">
        <v>96</v>
      </c>
      <c r="R275" s="15">
        <v>115</v>
      </c>
      <c r="S275" s="15">
        <v>71</v>
      </c>
      <c r="T275" s="15">
        <v>48</v>
      </c>
      <c r="U275" s="15">
        <v>79</v>
      </c>
      <c r="V275" s="15">
        <f>84-1</f>
        <v>83</v>
      </c>
      <c r="W275" s="15">
        <v>105</v>
      </c>
      <c r="X275" s="15">
        <v>90</v>
      </c>
      <c r="Y275" s="15">
        <v>99</v>
      </c>
      <c r="Z275" s="34">
        <v>102</v>
      </c>
      <c r="AA275" s="17">
        <f t="shared" si="181"/>
        <v>3.0303030303030304E-2</v>
      </c>
      <c r="AB275" s="17">
        <f t="shared" si="182"/>
        <v>0.2289156626506024</v>
      </c>
      <c r="AC275" s="17">
        <f t="shared" si="183"/>
        <v>-0.10526315789473684</v>
      </c>
    </row>
    <row r="276" spans="1:29" outlineLevel="6" x14ac:dyDescent="0.2">
      <c r="A276" s="69" t="s">
        <v>339</v>
      </c>
      <c r="B276" s="31" t="s">
        <v>348</v>
      </c>
      <c r="C276" s="32" t="s">
        <v>348</v>
      </c>
      <c r="D276" s="20" t="s">
        <v>352</v>
      </c>
      <c r="E276" s="12">
        <v>894</v>
      </c>
      <c r="F276" s="33">
        <v>4330</v>
      </c>
      <c r="G276" s="101">
        <v>27</v>
      </c>
      <c r="H276" s="101">
        <v>26</v>
      </c>
      <c r="I276" s="101">
        <v>15</v>
      </c>
      <c r="J276" s="101">
        <v>7</v>
      </c>
      <c r="K276" s="101">
        <v>2</v>
      </c>
      <c r="L276" s="101">
        <v>3</v>
      </c>
      <c r="M276" s="101">
        <v>1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/>
      <c r="W276" s="15"/>
      <c r="X276" s="15"/>
      <c r="Y276" s="15"/>
      <c r="Z276" s="34"/>
      <c r="AA276" s="17" t="str">
        <f t="shared" si="181"/>
        <v/>
      </c>
      <c r="AB276" s="17" t="str">
        <f t="shared" si="182"/>
        <v/>
      </c>
      <c r="AC276" s="17" t="str">
        <f t="shared" si="183"/>
        <v/>
      </c>
    </row>
    <row r="277" spans="1:29" outlineLevel="6" x14ac:dyDescent="0.2">
      <c r="A277" s="69" t="s">
        <v>339</v>
      </c>
      <c r="B277" s="31" t="s">
        <v>348</v>
      </c>
      <c r="C277" s="32" t="s">
        <v>348</v>
      </c>
      <c r="D277" s="20" t="s">
        <v>353</v>
      </c>
      <c r="E277" s="12">
        <v>893</v>
      </c>
      <c r="F277" s="33">
        <v>4340</v>
      </c>
      <c r="G277" s="101">
        <v>88</v>
      </c>
      <c r="H277" s="101">
        <v>46</v>
      </c>
      <c r="I277" s="101">
        <v>28</v>
      </c>
      <c r="J277" s="101">
        <v>16</v>
      </c>
      <c r="K277" s="101">
        <v>5</v>
      </c>
      <c r="L277" s="101">
        <v>4</v>
      </c>
      <c r="M277" s="101">
        <v>1</v>
      </c>
      <c r="N277" s="15">
        <v>0</v>
      </c>
      <c r="O277" s="15">
        <v>0</v>
      </c>
      <c r="P277" s="15"/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/>
      <c r="W277" s="15"/>
      <c r="X277" s="15"/>
      <c r="Y277" s="15"/>
      <c r="Z277" s="34"/>
      <c r="AA277" s="17" t="str">
        <f t="shared" si="181"/>
        <v/>
      </c>
      <c r="AB277" s="17" t="str">
        <f t="shared" si="182"/>
        <v/>
      </c>
      <c r="AC277" s="17" t="str">
        <f t="shared" si="183"/>
        <v/>
      </c>
    </row>
    <row r="278" spans="1:29" outlineLevel="6" x14ac:dyDescent="0.2">
      <c r="A278" s="69" t="s">
        <v>339</v>
      </c>
      <c r="B278" s="31" t="s">
        <v>348</v>
      </c>
      <c r="C278" s="32" t="s">
        <v>348</v>
      </c>
      <c r="D278" s="20" t="s">
        <v>354</v>
      </c>
      <c r="E278" s="12">
        <v>896</v>
      </c>
      <c r="F278" s="33"/>
      <c r="G278" s="101"/>
      <c r="H278" s="101"/>
      <c r="I278" s="101"/>
      <c r="J278" s="101"/>
      <c r="K278" s="101"/>
      <c r="L278" s="101"/>
      <c r="M278" s="101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34"/>
      <c r="AA278" s="17" t="str">
        <f t="shared" si="181"/>
        <v/>
      </c>
      <c r="AB278" s="17" t="str">
        <f t="shared" si="182"/>
        <v/>
      </c>
      <c r="AC278" s="17" t="str">
        <f t="shared" si="183"/>
        <v/>
      </c>
    </row>
    <row r="279" spans="1:29" outlineLevel="4" x14ac:dyDescent="0.2">
      <c r="A279" s="69"/>
      <c r="B279" s="39" t="s">
        <v>355</v>
      </c>
      <c r="C279" s="32"/>
      <c r="D279" s="20"/>
      <c r="E279" s="12"/>
      <c r="F279" s="33"/>
      <c r="G279" s="101">
        <f t="shared" ref="G279:M279" si="187">SUBTOTAL(9,G273:G278)</f>
        <v>461</v>
      </c>
      <c r="H279" s="101">
        <f t="shared" si="187"/>
        <v>390</v>
      </c>
      <c r="I279" s="101">
        <f t="shared" si="187"/>
        <v>339</v>
      </c>
      <c r="J279" s="101">
        <f t="shared" si="187"/>
        <v>311</v>
      </c>
      <c r="K279" s="101">
        <f t="shared" si="187"/>
        <v>295</v>
      </c>
      <c r="L279" s="101">
        <f t="shared" si="187"/>
        <v>296</v>
      </c>
      <c r="M279" s="101">
        <f t="shared" si="187"/>
        <v>298</v>
      </c>
      <c r="N279" s="15">
        <f t="shared" ref="N279:V279" si="188">SUBTOTAL(9,N273:N278)</f>
        <v>289</v>
      </c>
      <c r="O279" s="15">
        <f t="shared" si="188"/>
        <v>292</v>
      </c>
      <c r="P279" s="15">
        <f t="shared" si="188"/>
        <v>289</v>
      </c>
      <c r="Q279" s="15">
        <f t="shared" si="188"/>
        <v>283</v>
      </c>
      <c r="R279" s="15">
        <f t="shared" si="188"/>
        <v>260</v>
      </c>
      <c r="S279" s="15">
        <f t="shared" si="188"/>
        <v>237</v>
      </c>
      <c r="T279" s="15">
        <f t="shared" si="188"/>
        <v>259</v>
      </c>
      <c r="U279" s="15">
        <f t="shared" si="188"/>
        <v>304</v>
      </c>
      <c r="V279" s="15">
        <f t="shared" si="188"/>
        <v>326</v>
      </c>
      <c r="W279" s="15">
        <f>SUBTOTAL(9,W273:W278)</f>
        <v>365</v>
      </c>
      <c r="X279" s="15">
        <f>SUBTOTAL(9,X273:X278)</f>
        <v>366</v>
      </c>
      <c r="Y279" s="15">
        <f>SUBTOTAL(9,Y273:Y278)</f>
        <v>384</v>
      </c>
      <c r="Z279" s="34">
        <f>SUBTOTAL(9,Z273:Z278)</f>
        <v>397</v>
      </c>
      <c r="AA279" s="17">
        <f t="shared" si="181"/>
        <v>3.3854166666666664E-2</v>
      </c>
      <c r="AB279" s="17">
        <f t="shared" si="182"/>
        <v>0.21779141104294478</v>
      </c>
      <c r="AC279" s="17">
        <f t="shared" si="183"/>
        <v>0.37370242214532873</v>
      </c>
    </row>
    <row r="280" spans="1:29" s="48" customFormat="1" outlineLevel="5" x14ac:dyDescent="0.2">
      <c r="A280" s="69" t="s">
        <v>339</v>
      </c>
      <c r="B280" s="31" t="s">
        <v>275</v>
      </c>
      <c r="C280" s="32" t="s">
        <v>275</v>
      </c>
      <c r="D280" s="20" t="s">
        <v>282</v>
      </c>
      <c r="E280" s="12"/>
      <c r="F280" s="46" t="s">
        <v>283</v>
      </c>
      <c r="G280" s="101"/>
      <c r="H280" s="101"/>
      <c r="I280" s="101"/>
      <c r="J280" s="101"/>
      <c r="K280" s="101"/>
      <c r="L280" s="101"/>
      <c r="M280" s="101"/>
      <c r="N280" s="15"/>
      <c r="O280" s="15"/>
      <c r="P280" s="15"/>
      <c r="Q280" s="15">
        <v>1</v>
      </c>
      <c r="R280" s="15">
        <v>0</v>
      </c>
      <c r="S280" s="15">
        <v>10</v>
      </c>
      <c r="T280" s="15">
        <v>16</v>
      </c>
      <c r="U280" s="15">
        <v>5</v>
      </c>
      <c r="V280" s="15">
        <v>5</v>
      </c>
      <c r="W280" s="15">
        <v>2</v>
      </c>
      <c r="X280" s="15"/>
      <c r="Y280" s="15">
        <v>1</v>
      </c>
      <c r="Z280" s="34">
        <v>2</v>
      </c>
      <c r="AA280" s="17">
        <f t="shared" si="181"/>
        <v>1</v>
      </c>
      <c r="AB280" s="17">
        <f t="shared" si="182"/>
        <v>-0.6</v>
      </c>
      <c r="AC280" s="17" t="str">
        <f t="shared" si="183"/>
        <v/>
      </c>
    </row>
    <row r="281" spans="1:29" s="44" customFormat="1" ht="12.75" customHeight="1" outlineLevel="5" x14ac:dyDescent="0.2">
      <c r="A281" s="69" t="s">
        <v>339</v>
      </c>
      <c r="B281" s="31" t="s">
        <v>275</v>
      </c>
      <c r="C281" s="32" t="s">
        <v>275</v>
      </c>
      <c r="D281" s="20" t="s">
        <v>356</v>
      </c>
      <c r="E281" s="12"/>
      <c r="F281" s="33">
        <v>4400</v>
      </c>
      <c r="G281" s="101"/>
      <c r="H281" s="101"/>
      <c r="I281" s="101"/>
      <c r="J281" s="101"/>
      <c r="K281" s="101"/>
      <c r="L281" s="101"/>
      <c r="M281" s="101"/>
      <c r="N281" s="15"/>
      <c r="O281" s="15"/>
      <c r="P281" s="15"/>
      <c r="Q281" s="15">
        <v>0</v>
      </c>
      <c r="R281" s="15">
        <v>0</v>
      </c>
      <c r="S281" s="15"/>
      <c r="T281" s="15"/>
      <c r="U281" s="15"/>
      <c r="V281" s="15"/>
      <c r="W281" s="15"/>
      <c r="X281" s="15"/>
      <c r="Y281" s="15"/>
      <c r="Z281" s="34"/>
      <c r="AA281" s="17" t="str">
        <f t="shared" si="181"/>
        <v/>
      </c>
      <c r="AB281" s="17" t="str">
        <f t="shared" si="182"/>
        <v/>
      </c>
      <c r="AC281" s="17" t="str">
        <f t="shared" si="183"/>
        <v/>
      </c>
    </row>
    <row r="282" spans="1:29" s="44" customFormat="1" ht="12.75" customHeight="1" outlineLevel="5" x14ac:dyDescent="0.2">
      <c r="A282" s="69" t="s">
        <v>339</v>
      </c>
      <c r="B282" s="31" t="s">
        <v>275</v>
      </c>
      <c r="C282" s="32" t="s">
        <v>275</v>
      </c>
      <c r="D282" s="20" t="s">
        <v>356</v>
      </c>
      <c r="E282" s="12"/>
      <c r="F282" s="33">
        <v>4800</v>
      </c>
      <c r="G282" s="101"/>
      <c r="H282" s="101"/>
      <c r="I282" s="101"/>
      <c r="J282" s="101"/>
      <c r="K282" s="101"/>
      <c r="L282" s="101"/>
      <c r="M282" s="101"/>
      <c r="N282" s="15"/>
      <c r="O282" s="15"/>
      <c r="P282" s="15"/>
      <c r="Q282" s="15"/>
      <c r="R282" s="15">
        <v>0</v>
      </c>
      <c r="S282" s="15"/>
      <c r="T282" s="15"/>
      <c r="U282" s="15"/>
      <c r="V282" s="15"/>
      <c r="W282" s="15"/>
      <c r="X282" s="15"/>
      <c r="Y282" s="15"/>
      <c r="Z282" s="34"/>
      <c r="AA282" s="17" t="str">
        <f t="shared" si="181"/>
        <v/>
      </c>
      <c r="AB282" s="17" t="str">
        <f t="shared" si="182"/>
        <v/>
      </c>
      <c r="AC282" s="17" t="str">
        <f t="shared" si="183"/>
        <v/>
      </c>
    </row>
    <row r="283" spans="1:29" outlineLevel="5" x14ac:dyDescent="0.2">
      <c r="A283" s="69" t="s">
        <v>339</v>
      </c>
      <c r="B283" s="31" t="s">
        <v>275</v>
      </c>
      <c r="C283" s="32" t="s">
        <v>275</v>
      </c>
      <c r="D283" s="66" t="s">
        <v>357</v>
      </c>
      <c r="E283" s="12">
        <v>70</v>
      </c>
      <c r="F283" s="33">
        <v>4010</v>
      </c>
      <c r="G283" s="101">
        <v>244</v>
      </c>
      <c r="H283" s="101">
        <v>215</v>
      </c>
      <c r="I283" s="101">
        <v>231</v>
      </c>
      <c r="J283" s="101">
        <v>232</v>
      </c>
      <c r="K283" s="101">
        <v>254</v>
      </c>
      <c r="L283" s="101">
        <v>217</v>
      </c>
      <c r="M283" s="101">
        <v>182</v>
      </c>
      <c r="N283" s="15">
        <v>121</v>
      </c>
      <c r="O283" s="15">
        <v>53</v>
      </c>
      <c r="P283" s="15">
        <v>27</v>
      </c>
      <c r="Q283" s="15">
        <v>17</v>
      </c>
      <c r="R283" s="15">
        <v>8</v>
      </c>
      <c r="S283" s="15">
        <v>6</v>
      </c>
      <c r="T283" s="15">
        <v>2</v>
      </c>
      <c r="U283" s="15">
        <v>1</v>
      </c>
      <c r="V283" s="15"/>
      <c r="W283" s="15"/>
      <c r="X283" s="15"/>
      <c r="Y283" s="15"/>
      <c r="Z283" s="34"/>
      <c r="AA283" s="17" t="str">
        <f t="shared" si="181"/>
        <v/>
      </c>
      <c r="AB283" s="17" t="str">
        <f t="shared" si="182"/>
        <v/>
      </c>
      <c r="AC283" s="17">
        <f t="shared" si="183"/>
        <v>-1</v>
      </c>
    </row>
    <row r="284" spans="1:29" outlineLevel="5" x14ac:dyDescent="0.2">
      <c r="A284" s="69" t="s">
        <v>339</v>
      </c>
      <c r="B284" s="31" t="s">
        <v>275</v>
      </c>
      <c r="C284" s="32" t="s">
        <v>275</v>
      </c>
      <c r="D284" s="66" t="s">
        <v>358</v>
      </c>
      <c r="E284" s="12"/>
      <c r="F284" s="33">
        <v>4220</v>
      </c>
      <c r="G284" s="13"/>
      <c r="H284" s="13"/>
      <c r="I284" s="13"/>
      <c r="J284" s="13"/>
      <c r="K284" s="13"/>
      <c r="L284" s="13"/>
      <c r="M284" s="13"/>
      <c r="N284" s="14">
        <v>2</v>
      </c>
      <c r="O284" s="14">
        <v>1</v>
      </c>
      <c r="P284" s="14">
        <v>2</v>
      </c>
      <c r="Q284" s="14">
        <v>10</v>
      </c>
      <c r="R284" s="14">
        <v>12</v>
      </c>
      <c r="S284" s="14">
        <v>0</v>
      </c>
      <c r="T284" s="14">
        <v>1</v>
      </c>
      <c r="U284" s="14">
        <v>0</v>
      </c>
      <c r="V284" s="14"/>
      <c r="W284" s="14"/>
      <c r="X284" s="14"/>
      <c r="Y284" s="14"/>
      <c r="Z284" s="65"/>
      <c r="AA284" s="17" t="str">
        <f t="shared" si="181"/>
        <v/>
      </c>
      <c r="AB284" s="17" t="str">
        <f t="shared" si="182"/>
        <v/>
      </c>
      <c r="AC284" s="17">
        <f t="shared" si="183"/>
        <v>-1</v>
      </c>
    </row>
    <row r="285" spans="1:29" outlineLevel="4" x14ac:dyDescent="0.2">
      <c r="A285" s="69"/>
      <c r="B285" s="39" t="s">
        <v>290</v>
      </c>
      <c r="C285" s="32"/>
      <c r="D285" s="66"/>
      <c r="E285" s="12"/>
      <c r="F285" s="33"/>
      <c r="G285" s="13">
        <f t="shared" ref="G285:M285" si="189">SUBTOTAL(9,G280:G284)</f>
        <v>244</v>
      </c>
      <c r="H285" s="13">
        <f t="shared" si="189"/>
        <v>215</v>
      </c>
      <c r="I285" s="13">
        <f t="shared" si="189"/>
        <v>231</v>
      </c>
      <c r="J285" s="13">
        <f t="shared" si="189"/>
        <v>232</v>
      </c>
      <c r="K285" s="13">
        <f t="shared" si="189"/>
        <v>254</v>
      </c>
      <c r="L285" s="13">
        <f t="shared" si="189"/>
        <v>217</v>
      </c>
      <c r="M285" s="13">
        <f t="shared" si="189"/>
        <v>182</v>
      </c>
      <c r="N285" s="14">
        <f t="shared" ref="N285:W285" si="190">SUBTOTAL(9,N280:N284)</f>
        <v>123</v>
      </c>
      <c r="O285" s="14">
        <f t="shared" si="190"/>
        <v>54</v>
      </c>
      <c r="P285" s="14">
        <f t="shared" si="190"/>
        <v>29</v>
      </c>
      <c r="Q285" s="14">
        <f t="shared" si="190"/>
        <v>28</v>
      </c>
      <c r="R285" s="14">
        <f t="shared" si="190"/>
        <v>20</v>
      </c>
      <c r="S285" s="14">
        <f t="shared" si="190"/>
        <v>16</v>
      </c>
      <c r="T285" s="14">
        <f t="shared" si="190"/>
        <v>19</v>
      </c>
      <c r="U285" s="14">
        <f t="shared" si="190"/>
        <v>6</v>
      </c>
      <c r="V285" s="14">
        <f t="shared" si="190"/>
        <v>5</v>
      </c>
      <c r="W285" s="14">
        <f t="shared" si="190"/>
        <v>2</v>
      </c>
      <c r="X285" s="14">
        <f t="shared" ref="X285:Y285" si="191">SUBTOTAL(9,X280:X284)</f>
        <v>0</v>
      </c>
      <c r="Y285" s="14">
        <f t="shared" si="191"/>
        <v>1</v>
      </c>
      <c r="Z285" s="65">
        <f t="shared" ref="Z285" si="192">SUBTOTAL(9,Z280:Z284)</f>
        <v>2</v>
      </c>
      <c r="AA285" s="17">
        <f t="shared" si="181"/>
        <v>1</v>
      </c>
      <c r="AB285" s="17">
        <f t="shared" si="182"/>
        <v>-0.6</v>
      </c>
      <c r="AC285" s="17">
        <f t="shared" si="183"/>
        <v>-0.93103448275862066</v>
      </c>
    </row>
    <row r="286" spans="1:29" s="44" customFormat="1" outlineLevel="3" x14ac:dyDescent="0.2">
      <c r="A286" s="38" t="s">
        <v>343</v>
      </c>
      <c r="B286" s="39"/>
      <c r="C286" s="40"/>
      <c r="D286" s="67"/>
      <c r="E286" s="25"/>
      <c r="F286" s="41"/>
      <c r="G286" s="26">
        <f t="shared" ref="G286:M286" si="193">SUBTOTAL(9,G264:G284)</f>
        <v>2215</v>
      </c>
      <c r="H286" s="26">
        <f t="shared" si="193"/>
        <v>2233</v>
      </c>
      <c r="I286" s="26">
        <f t="shared" si="193"/>
        <v>2330</v>
      </c>
      <c r="J286" s="26">
        <f t="shared" si="193"/>
        <v>2293</v>
      </c>
      <c r="K286" s="26">
        <f t="shared" si="193"/>
        <v>2262</v>
      </c>
      <c r="L286" s="26">
        <f t="shared" si="193"/>
        <v>2124</v>
      </c>
      <c r="M286" s="26">
        <f t="shared" si="193"/>
        <v>1922</v>
      </c>
      <c r="N286" s="27">
        <f t="shared" ref="N286:W286" si="194">SUBTOTAL(9,N264:N284)</f>
        <v>1719</v>
      </c>
      <c r="O286" s="27">
        <f t="shared" si="194"/>
        <v>1503</v>
      </c>
      <c r="P286" s="27">
        <f t="shared" si="194"/>
        <v>1414</v>
      </c>
      <c r="Q286" s="27">
        <f t="shared" si="194"/>
        <v>1394</v>
      </c>
      <c r="R286" s="27">
        <f t="shared" si="194"/>
        <v>1368</v>
      </c>
      <c r="S286" s="27">
        <f t="shared" si="194"/>
        <v>1291</v>
      </c>
      <c r="T286" s="27">
        <f t="shared" si="194"/>
        <v>1251</v>
      </c>
      <c r="U286" s="27">
        <f t="shared" si="194"/>
        <v>1193</v>
      </c>
      <c r="V286" s="27">
        <f t="shared" si="194"/>
        <v>1130</v>
      </c>
      <c r="W286" s="27">
        <f t="shared" si="194"/>
        <v>1124</v>
      </c>
      <c r="X286" s="27">
        <f t="shared" ref="X286:Y286" si="195">SUBTOTAL(9,X264:X284)</f>
        <v>1063</v>
      </c>
      <c r="Y286" s="27">
        <f t="shared" si="195"/>
        <v>1027</v>
      </c>
      <c r="Z286" s="73">
        <f t="shared" ref="Z286" si="196">SUBTOTAL(9,Z264:Z284)</f>
        <v>1008</v>
      </c>
      <c r="AA286" s="17">
        <f t="shared" si="181"/>
        <v>-1.8500486854917234E-2</v>
      </c>
      <c r="AB286" s="17">
        <f t="shared" si="182"/>
        <v>-0.1079646017699115</v>
      </c>
      <c r="AC286" s="17">
        <f t="shared" si="183"/>
        <v>-0.28712871287128711</v>
      </c>
    </row>
    <row r="287" spans="1:29" outlineLevel="6" x14ac:dyDescent="0.2">
      <c r="A287" s="69" t="s">
        <v>359</v>
      </c>
      <c r="B287" s="31" t="s">
        <v>360</v>
      </c>
      <c r="C287" s="32" t="s">
        <v>360</v>
      </c>
      <c r="D287" s="20" t="s">
        <v>361</v>
      </c>
      <c r="E287" s="12">
        <v>411</v>
      </c>
      <c r="F287" s="33">
        <v>5020</v>
      </c>
      <c r="G287" s="101">
        <v>236</v>
      </c>
      <c r="H287" s="101">
        <v>285</v>
      </c>
      <c r="I287" s="101">
        <v>254</v>
      </c>
      <c r="J287" s="101">
        <v>236</v>
      </c>
      <c r="K287" s="101">
        <v>211</v>
      </c>
      <c r="L287" s="101">
        <v>167</v>
      </c>
      <c r="M287" s="101">
        <v>160</v>
      </c>
      <c r="N287" s="15">
        <v>145</v>
      </c>
      <c r="O287" s="15">
        <v>149</v>
      </c>
      <c r="P287" s="15">
        <v>139</v>
      </c>
      <c r="Q287" s="15">
        <v>127</v>
      </c>
      <c r="R287" s="15">
        <v>130</v>
      </c>
      <c r="S287" s="15">
        <v>157</v>
      </c>
      <c r="T287" s="15">
        <v>195</v>
      </c>
      <c r="U287" s="15">
        <v>218</v>
      </c>
      <c r="V287" s="15">
        <f>288-7</f>
        <v>281</v>
      </c>
      <c r="W287" s="15">
        <f>335-6</f>
        <v>329</v>
      </c>
      <c r="X287" s="15">
        <v>386</v>
      </c>
      <c r="Y287" s="15">
        <v>424</v>
      </c>
      <c r="Z287" s="34">
        <v>476</v>
      </c>
      <c r="AA287" s="17">
        <f t="shared" si="181"/>
        <v>0.12264150943396226</v>
      </c>
      <c r="AB287" s="17">
        <f t="shared" si="182"/>
        <v>0.69395017793594305</v>
      </c>
      <c r="AC287" s="17">
        <f t="shared" si="183"/>
        <v>2.4244604316546763</v>
      </c>
    </row>
    <row r="288" spans="1:29" ht="12.75" customHeight="1" outlineLevel="6" x14ac:dyDescent="0.2">
      <c r="A288" s="69" t="s">
        <v>359</v>
      </c>
      <c r="B288" s="31" t="s">
        <v>360</v>
      </c>
      <c r="C288" s="32" t="s">
        <v>360</v>
      </c>
      <c r="D288" s="20" t="s">
        <v>362</v>
      </c>
      <c r="E288" s="12">
        <v>410</v>
      </c>
      <c r="F288" s="33"/>
      <c r="G288" s="101"/>
      <c r="H288" s="101"/>
      <c r="I288" s="101"/>
      <c r="J288" s="101"/>
      <c r="K288" s="101"/>
      <c r="L288" s="101"/>
      <c r="M288" s="101"/>
      <c r="N288" s="15"/>
      <c r="O288" s="70"/>
      <c r="P288" s="70"/>
      <c r="Q288" s="52"/>
      <c r="R288" s="15"/>
      <c r="S288" s="15"/>
      <c r="T288" s="15"/>
      <c r="U288" s="15"/>
      <c r="V288" s="15"/>
      <c r="W288" s="15"/>
      <c r="X288" s="15"/>
      <c r="Y288" s="15"/>
      <c r="Z288" s="34"/>
      <c r="AA288" s="17" t="str">
        <f t="shared" si="181"/>
        <v/>
      </c>
      <c r="AB288" s="17" t="str">
        <f t="shared" si="182"/>
        <v/>
      </c>
      <c r="AC288" s="17" t="str">
        <f t="shared" si="183"/>
        <v/>
      </c>
    </row>
    <row r="289" spans="1:29" outlineLevel="6" x14ac:dyDescent="0.2">
      <c r="A289" s="69" t="s">
        <v>359</v>
      </c>
      <c r="B289" s="31" t="s">
        <v>360</v>
      </c>
      <c r="C289" s="32" t="s">
        <v>360</v>
      </c>
      <c r="D289" s="20" t="s">
        <v>363</v>
      </c>
      <c r="E289" s="12"/>
      <c r="F289" s="33">
        <v>5070</v>
      </c>
      <c r="G289" s="101"/>
      <c r="H289" s="101"/>
      <c r="I289" s="101"/>
      <c r="J289" s="101"/>
      <c r="K289" s="101"/>
      <c r="L289" s="101"/>
      <c r="M289" s="101">
        <v>9</v>
      </c>
      <c r="N289" s="15">
        <v>34</v>
      </c>
      <c r="O289" s="15">
        <v>66</v>
      </c>
      <c r="P289" s="15">
        <v>94</v>
      </c>
      <c r="Q289" s="15">
        <v>113</v>
      </c>
      <c r="R289" s="15">
        <v>109</v>
      </c>
      <c r="S289" s="15">
        <v>117</v>
      </c>
      <c r="T289" s="15">
        <v>134</v>
      </c>
      <c r="U289" s="15">
        <v>125</v>
      </c>
      <c r="V289" s="15">
        <f>150-2</f>
        <v>148</v>
      </c>
      <c r="W289" s="15">
        <f>186-3</f>
        <v>183</v>
      </c>
      <c r="X289" s="15">
        <v>208</v>
      </c>
      <c r="Y289" s="15">
        <v>233</v>
      </c>
      <c r="Z289" s="34">
        <v>251</v>
      </c>
      <c r="AA289" s="17">
        <f>IF(Y289&gt;0, (Z289-Y289)/Y289, "")</f>
        <v>7.7253218884120178E-2</v>
      </c>
      <c r="AB289" s="17">
        <f>IF(U289&gt;0, (Z289-U289)/U289, "")</f>
        <v>1.008</v>
      </c>
      <c r="AC289" s="17">
        <f t="shared" si="183"/>
        <v>1.6702127659574468</v>
      </c>
    </row>
    <row r="290" spans="1:29" s="44" customFormat="1" outlineLevel="4" x14ac:dyDescent="0.2">
      <c r="A290" s="38"/>
      <c r="B290" s="39" t="s">
        <v>364</v>
      </c>
      <c r="C290" s="40"/>
      <c r="D290" s="24"/>
      <c r="E290" s="25"/>
      <c r="F290" s="41"/>
      <c r="G290" s="102">
        <f t="shared" ref="G290:M290" si="197">SUBTOTAL(9,G287:G289)</f>
        <v>236</v>
      </c>
      <c r="H290" s="102">
        <f t="shared" si="197"/>
        <v>285</v>
      </c>
      <c r="I290" s="102">
        <f t="shared" si="197"/>
        <v>254</v>
      </c>
      <c r="J290" s="102">
        <f t="shared" si="197"/>
        <v>236</v>
      </c>
      <c r="K290" s="102">
        <f t="shared" si="197"/>
        <v>211</v>
      </c>
      <c r="L290" s="102">
        <f t="shared" si="197"/>
        <v>167</v>
      </c>
      <c r="M290" s="102">
        <f t="shared" si="197"/>
        <v>169</v>
      </c>
      <c r="N290" s="28">
        <f t="shared" ref="N290:X290" si="198">SUBTOTAL(9,N287:N289)</f>
        <v>179</v>
      </c>
      <c r="O290" s="28">
        <f t="shared" si="198"/>
        <v>215</v>
      </c>
      <c r="P290" s="28">
        <f t="shared" si="198"/>
        <v>233</v>
      </c>
      <c r="Q290" s="28">
        <f t="shared" si="198"/>
        <v>240</v>
      </c>
      <c r="R290" s="28">
        <f t="shared" si="198"/>
        <v>239</v>
      </c>
      <c r="S290" s="28">
        <f t="shared" si="198"/>
        <v>274</v>
      </c>
      <c r="T290" s="28">
        <f t="shared" si="198"/>
        <v>329</v>
      </c>
      <c r="U290" s="28">
        <f t="shared" si="198"/>
        <v>343</v>
      </c>
      <c r="V290" s="28">
        <f t="shared" si="198"/>
        <v>429</v>
      </c>
      <c r="W290" s="28">
        <f t="shared" si="198"/>
        <v>512</v>
      </c>
      <c r="X290" s="28">
        <f t="shared" si="198"/>
        <v>594</v>
      </c>
      <c r="Y290" s="28">
        <f t="shared" ref="Y290:Z290" si="199">SUBTOTAL(9,Y287:Y289)</f>
        <v>657</v>
      </c>
      <c r="Z290" s="43">
        <f t="shared" si="199"/>
        <v>727</v>
      </c>
      <c r="AA290" s="17">
        <f t="shared" si="181"/>
        <v>0.106544901065449</v>
      </c>
      <c r="AB290" s="17">
        <f t="shared" ref="AB290:AB354" si="200">IF(U290&gt;0, (Z290-U290)/U290, "")</f>
        <v>1.119533527696793</v>
      </c>
      <c r="AC290" s="17">
        <f t="shared" si="183"/>
        <v>2.1201716738197427</v>
      </c>
    </row>
    <row r="291" spans="1:29" outlineLevel="6" x14ac:dyDescent="0.2">
      <c r="A291" s="69" t="s">
        <v>359</v>
      </c>
      <c r="B291" s="31" t="s">
        <v>365</v>
      </c>
      <c r="C291" s="32" t="s">
        <v>365</v>
      </c>
      <c r="D291" s="20" t="s">
        <v>366</v>
      </c>
      <c r="E291" s="12">
        <v>412</v>
      </c>
      <c r="F291" s="33">
        <v>5120</v>
      </c>
      <c r="G291" s="101">
        <v>157</v>
      </c>
      <c r="H291" s="101">
        <v>166</v>
      </c>
      <c r="I291" s="101">
        <v>184</v>
      </c>
      <c r="J291" s="101">
        <v>175</v>
      </c>
      <c r="K291" s="101">
        <v>161</v>
      </c>
      <c r="L291" s="101">
        <v>143</v>
      </c>
      <c r="M291" s="101">
        <v>115</v>
      </c>
      <c r="N291" s="15">
        <v>99</v>
      </c>
      <c r="O291" s="15">
        <v>99</v>
      </c>
      <c r="P291" s="15">
        <v>91</v>
      </c>
      <c r="Q291" s="15">
        <v>86</v>
      </c>
      <c r="R291" s="15">
        <v>79</v>
      </c>
      <c r="S291" s="15">
        <v>71</v>
      </c>
      <c r="T291" s="15">
        <v>65</v>
      </c>
      <c r="U291" s="15">
        <v>98</v>
      </c>
      <c r="V291" s="15">
        <f>123-2</f>
        <v>121</v>
      </c>
      <c r="W291" s="15">
        <f>153-2</f>
        <v>151</v>
      </c>
      <c r="X291" s="15">
        <v>158</v>
      </c>
      <c r="Y291" s="15">
        <v>170</v>
      </c>
      <c r="Z291" s="34">
        <v>172</v>
      </c>
      <c r="AA291" s="17">
        <f t="shared" si="181"/>
        <v>1.1764705882352941E-2</v>
      </c>
      <c r="AB291" s="17">
        <f t="shared" si="200"/>
        <v>0.75510204081632648</v>
      </c>
      <c r="AC291" s="17">
        <f t="shared" si="183"/>
        <v>0.89010989010989006</v>
      </c>
    </row>
    <row r="292" spans="1:29" outlineLevel="6" x14ac:dyDescent="0.2">
      <c r="A292" s="69" t="s">
        <v>359</v>
      </c>
      <c r="B292" s="31" t="s">
        <v>365</v>
      </c>
      <c r="C292" s="32" t="s">
        <v>365</v>
      </c>
      <c r="D292" s="20" t="s">
        <v>367</v>
      </c>
      <c r="E292" s="12">
        <v>415</v>
      </c>
      <c r="F292" s="33">
        <v>5140</v>
      </c>
      <c r="G292" s="13">
        <v>153</v>
      </c>
      <c r="H292" s="13">
        <v>190</v>
      </c>
      <c r="I292" s="13">
        <v>173</v>
      </c>
      <c r="J292" s="13">
        <v>171</v>
      </c>
      <c r="K292" s="13">
        <v>177</v>
      </c>
      <c r="L292" s="13">
        <v>175</v>
      </c>
      <c r="M292" s="13">
        <v>192</v>
      </c>
      <c r="N292" s="14">
        <v>175</v>
      </c>
      <c r="O292" s="14">
        <v>149</v>
      </c>
      <c r="P292" s="14">
        <v>125</v>
      </c>
      <c r="Q292" s="14">
        <v>126</v>
      </c>
      <c r="R292" s="14">
        <v>156</v>
      </c>
      <c r="S292" s="14">
        <v>144</v>
      </c>
      <c r="T292" s="14">
        <v>177</v>
      </c>
      <c r="U292" s="14">
        <v>225</v>
      </c>
      <c r="V292" s="14">
        <f>276-15</f>
        <v>261</v>
      </c>
      <c r="W292" s="14">
        <f>322-10</f>
        <v>312</v>
      </c>
      <c r="X292" s="14">
        <v>327</v>
      </c>
      <c r="Y292" s="14">
        <v>346</v>
      </c>
      <c r="Z292" s="65">
        <v>376</v>
      </c>
      <c r="AA292" s="17">
        <f t="shared" si="181"/>
        <v>8.6705202312138727E-2</v>
      </c>
      <c r="AB292" s="17">
        <f t="shared" si="200"/>
        <v>0.6711111111111111</v>
      </c>
      <c r="AC292" s="17">
        <f t="shared" si="183"/>
        <v>2.008</v>
      </c>
    </row>
    <row r="293" spans="1:29" s="44" customFormat="1" outlineLevel="4" x14ac:dyDescent="0.2">
      <c r="A293" s="38"/>
      <c r="B293" s="39" t="s">
        <v>368</v>
      </c>
      <c r="C293" s="40"/>
      <c r="D293" s="24"/>
      <c r="E293" s="25"/>
      <c r="F293" s="41"/>
      <c r="G293" s="26">
        <f t="shared" ref="G293:M293" si="201">SUBTOTAL(9,G291:G292)</f>
        <v>310</v>
      </c>
      <c r="H293" s="26">
        <f t="shared" si="201"/>
        <v>356</v>
      </c>
      <c r="I293" s="26">
        <f t="shared" si="201"/>
        <v>357</v>
      </c>
      <c r="J293" s="26">
        <f t="shared" si="201"/>
        <v>346</v>
      </c>
      <c r="K293" s="26">
        <f t="shared" si="201"/>
        <v>338</v>
      </c>
      <c r="L293" s="26">
        <f t="shared" si="201"/>
        <v>318</v>
      </c>
      <c r="M293" s="26">
        <f t="shared" si="201"/>
        <v>307</v>
      </c>
      <c r="N293" s="27">
        <f t="shared" ref="N293:X293" si="202">SUBTOTAL(9,N291:N292)</f>
        <v>274</v>
      </c>
      <c r="O293" s="27">
        <f t="shared" si="202"/>
        <v>248</v>
      </c>
      <c r="P293" s="27">
        <f t="shared" si="202"/>
        <v>216</v>
      </c>
      <c r="Q293" s="27">
        <f t="shared" si="202"/>
        <v>212</v>
      </c>
      <c r="R293" s="27">
        <f t="shared" si="202"/>
        <v>235</v>
      </c>
      <c r="S293" s="27">
        <f t="shared" si="202"/>
        <v>215</v>
      </c>
      <c r="T293" s="27">
        <f t="shared" si="202"/>
        <v>242</v>
      </c>
      <c r="U293" s="27">
        <f t="shared" si="202"/>
        <v>323</v>
      </c>
      <c r="V293" s="27">
        <f t="shared" si="202"/>
        <v>382</v>
      </c>
      <c r="W293" s="27">
        <f t="shared" si="202"/>
        <v>463</v>
      </c>
      <c r="X293" s="27">
        <f t="shared" si="202"/>
        <v>485</v>
      </c>
      <c r="Y293" s="27">
        <f t="shared" ref="Y293:Z293" si="203">SUBTOTAL(9,Y291:Y292)</f>
        <v>516</v>
      </c>
      <c r="Z293" s="73">
        <f t="shared" si="203"/>
        <v>548</v>
      </c>
      <c r="AA293" s="17">
        <f t="shared" si="181"/>
        <v>6.2015503875968991E-2</v>
      </c>
      <c r="AB293" s="17">
        <f t="shared" si="200"/>
        <v>0.69659442724458209</v>
      </c>
      <c r="AC293" s="17">
        <f t="shared" si="183"/>
        <v>1.537037037037037</v>
      </c>
    </row>
    <row r="294" spans="1:29" ht="13.15" customHeight="1" outlineLevel="5" x14ac:dyDescent="0.2">
      <c r="A294" s="69" t="s">
        <v>359</v>
      </c>
      <c r="B294" s="31" t="s">
        <v>369</v>
      </c>
      <c r="C294" s="32"/>
      <c r="D294" s="20" t="s">
        <v>370</v>
      </c>
      <c r="E294" s="12">
        <v>445</v>
      </c>
      <c r="F294" s="33">
        <v>5180</v>
      </c>
      <c r="G294" s="101">
        <v>21</v>
      </c>
      <c r="H294" s="101">
        <v>25</v>
      </c>
      <c r="I294" s="101">
        <v>23</v>
      </c>
      <c r="J294" s="101">
        <v>18</v>
      </c>
      <c r="K294" s="101">
        <v>11</v>
      </c>
      <c r="L294" s="101">
        <v>13</v>
      </c>
      <c r="M294" s="101">
        <v>3</v>
      </c>
      <c r="N294" s="15">
        <v>7</v>
      </c>
      <c r="O294" s="15">
        <v>8</v>
      </c>
      <c r="P294" s="15">
        <v>2</v>
      </c>
      <c r="Q294" s="15">
        <v>0</v>
      </c>
      <c r="R294" s="15">
        <v>0</v>
      </c>
      <c r="S294" s="15">
        <v>1</v>
      </c>
      <c r="T294" s="15">
        <v>0</v>
      </c>
      <c r="U294" s="15">
        <v>0</v>
      </c>
      <c r="V294" s="15"/>
      <c r="W294" s="15"/>
      <c r="X294" s="15"/>
      <c r="Y294" s="15"/>
      <c r="Z294" s="34"/>
      <c r="AA294" s="17" t="str">
        <f t="shared" si="181"/>
        <v/>
      </c>
      <c r="AB294" s="17" t="str">
        <f t="shared" si="200"/>
        <v/>
      </c>
      <c r="AC294" s="17">
        <f t="shared" si="183"/>
        <v>-1</v>
      </c>
    </row>
    <row r="295" spans="1:29" ht="13.15" customHeight="1" outlineLevel="5" x14ac:dyDescent="0.2">
      <c r="A295" s="69" t="s">
        <v>359</v>
      </c>
      <c r="B295" s="31" t="s">
        <v>369</v>
      </c>
      <c r="C295" s="32"/>
      <c r="D295" s="20" t="s">
        <v>371</v>
      </c>
      <c r="E295" s="12"/>
      <c r="F295" s="33">
        <v>5185</v>
      </c>
      <c r="G295" s="101"/>
      <c r="H295" s="101"/>
      <c r="I295" s="101"/>
      <c r="J295" s="101"/>
      <c r="K295" s="101"/>
      <c r="L295" s="101"/>
      <c r="M295" s="101"/>
      <c r="N295" s="15"/>
      <c r="O295" s="15">
        <v>2</v>
      </c>
      <c r="P295" s="15">
        <v>16</v>
      </c>
      <c r="Q295" s="15">
        <v>21</v>
      </c>
      <c r="R295" s="15">
        <v>20</v>
      </c>
      <c r="S295" s="15">
        <v>27</v>
      </c>
      <c r="T295" s="15">
        <v>45</v>
      </c>
      <c r="U295" s="15">
        <v>57</v>
      </c>
      <c r="V295" s="15">
        <f>70-1</f>
        <v>69</v>
      </c>
      <c r="W295" s="15">
        <f>62-1</f>
        <v>61</v>
      </c>
      <c r="X295" s="15">
        <v>75</v>
      </c>
      <c r="Y295" s="15">
        <v>84</v>
      </c>
      <c r="Z295" s="34">
        <v>90</v>
      </c>
      <c r="AA295" s="17">
        <f t="shared" si="181"/>
        <v>7.1428571428571425E-2</v>
      </c>
      <c r="AB295" s="17">
        <f t="shared" si="200"/>
        <v>0.57894736842105265</v>
      </c>
      <c r="AC295" s="17">
        <f t="shared" si="183"/>
        <v>4.625</v>
      </c>
    </row>
    <row r="296" spans="1:29" s="44" customFormat="1" ht="13.15" customHeight="1" outlineLevel="4" x14ac:dyDescent="0.2">
      <c r="A296" s="38"/>
      <c r="B296" s="39" t="s">
        <v>372</v>
      </c>
      <c r="C296" s="40"/>
      <c r="D296" s="24"/>
      <c r="E296" s="25"/>
      <c r="F296" s="41"/>
      <c r="G296" s="102">
        <f t="shared" ref="G296:M296" si="204">SUBTOTAL(9,G294:G295)</f>
        <v>21</v>
      </c>
      <c r="H296" s="102">
        <f t="shared" si="204"/>
        <v>25</v>
      </c>
      <c r="I296" s="102">
        <f t="shared" si="204"/>
        <v>23</v>
      </c>
      <c r="J296" s="102">
        <f t="shared" si="204"/>
        <v>18</v>
      </c>
      <c r="K296" s="102">
        <f t="shared" si="204"/>
        <v>11</v>
      </c>
      <c r="L296" s="102">
        <f t="shared" si="204"/>
        <v>13</v>
      </c>
      <c r="M296" s="102">
        <f t="shared" si="204"/>
        <v>3</v>
      </c>
      <c r="N296" s="28">
        <f t="shared" ref="N296:X296" si="205">SUBTOTAL(9,N294:N295)</f>
        <v>7</v>
      </c>
      <c r="O296" s="28">
        <f t="shared" si="205"/>
        <v>10</v>
      </c>
      <c r="P296" s="28">
        <f t="shared" si="205"/>
        <v>18</v>
      </c>
      <c r="Q296" s="28">
        <f t="shared" si="205"/>
        <v>21</v>
      </c>
      <c r="R296" s="28">
        <f t="shared" si="205"/>
        <v>20</v>
      </c>
      <c r="S296" s="28">
        <f t="shared" si="205"/>
        <v>28</v>
      </c>
      <c r="T296" s="28">
        <f t="shared" si="205"/>
        <v>45</v>
      </c>
      <c r="U296" s="28">
        <f t="shared" si="205"/>
        <v>57</v>
      </c>
      <c r="V296" s="28">
        <f t="shared" si="205"/>
        <v>69</v>
      </c>
      <c r="W296" s="28">
        <f t="shared" si="205"/>
        <v>61</v>
      </c>
      <c r="X296" s="28">
        <f t="shared" si="205"/>
        <v>75</v>
      </c>
      <c r="Y296" s="28">
        <f t="shared" ref="Y296:Z296" si="206">SUBTOTAL(9,Y294:Y295)</f>
        <v>84</v>
      </c>
      <c r="Z296" s="43">
        <f t="shared" si="206"/>
        <v>90</v>
      </c>
      <c r="AA296" s="17">
        <f t="shared" si="181"/>
        <v>7.1428571428571425E-2</v>
      </c>
      <c r="AB296" s="17">
        <f t="shared" si="200"/>
        <v>0.57894736842105265</v>
      </c>
      <c r="AC296" s="17">
        <f t="shared" si="183"/>
        <v>4</v>
      </c>
    </row>
    <row r="297" spans="1:29" s="49" customFormat="1" outlineLevel="5" x14ac:dyDescent="0.2">
      <c r="A297" s="69" t="s">
        <v>359</v>
      </c>
      <c r="B297" s="31" t="s">
        <v>373</v>
      </c>
      <c r="C297" s="32"/>
      <c r="D297" s="20" t="s">
        <v>484</v>
      </c>
      <c r="E297" s="12"/>
      <c r="F297" s="46" t="s">
        <v>374</v>
      </c>
      <c r="G297" s="101"/>
      <c r="H297" s="101"/>
      <c r="I297" s="101"/>
      <c r="J297" s="101"/>
      <c r="K297" s="101"/>
      <c r="L297" s="101"/>
      <c r="M297" s="101"/>
      <c r="N297" s="15"/>
      <c r="O297" s="15"/>
      <c r="P297" s="15">
        <v>25</v>
      </c>
      <c r="Q297" s="15">
        <v>35</v>
      </c>
      <c r="R297" s="15">
        <v>42</v>
      </c>
      <c r="S297" s="15">
        <v>49</v>
      </c>
      <c r="T297" s="15">
        <v>54</v>
      </c>
      <c r="U297" s="15">
        <v>43</v>
      </c>
      <c r="V297" s="15">
        <f>58-2</f>
        <v>56</v>
      </c>
      <c r="W297" s="15">
        <f>64-1</f>
        <v>63</v>
      </c>
      <c r="X297" s="15">
        <f>22+50</f>
        <v>72</v>
      </c>
      <c r="Y297" s="15">
        <f>7+62</f>
        <v>69</v>
      </c>
      <c r="Z297" s="34">
        <v>81</v>
      </c>
      <c r="AA297" s="17">
        <f t="shared" si="181"/>
        <v>0.17391304347826086</v>
      </c>
      <c r="AB297" s="17">
        <f t="shared" si="200"/>
        <v>0.88372093023255816</v>
      </c>
      <c r="AC297" s="17">
        <f t="shared" si="183"/>
        <v>2.2400000000000002</v>
      </c>
    </row>
    <row r="298" spans="1:29" s="47" customFormat="1" outlineLevel="5" x14ac:dyDescent="0.2">
      <c r="A298" s="69" t="s">
        <v>359</v>
      </c>
      <c r="B298" s="31" t="s">
        <v>373</v>
      </c>
      <c r="C298" s="32"/>
      <c r="D298" s="20" t="s">
        <v>375</v>
      </c>
      <c r="E298" s="12">
        <v>443</v>
      </c>
      <c r="F298" s="33">
        <v>5040</v>
      </c>
      <c r="G298" s="101">
        <v>30</v>
      </c>
      <c r="H298" s="101">
        <v>29</v>
      </c>
      <c r="I298" s="101">
        <v>28</v>
      </c>
      <c r="J298" s="101">
        <v>23</v>
      </c>
      <c r="K298" s="101">
        <v>22</v>
      </c>
      <c r="L298" s="101">
        <v>25</v>
      </c>
      <c r="M298" s="101">
        <v>22</v>
      </c>
      <c r="N298" s="15">
        <v>16</v>
      </c>
      <c r="O298" s="15">
        <v>19</v>
      </c>
      <c r="P298" s="15">
        <v>21</v>
      </c>
      <c r="Q298" s="15">
        <v>23</v>
      </c>
      <c r="R298" s="15">
        <v>27</v>
      </c>
      <c r="S298" s="15">
        <v>21</v>
      </c>
      <c r="T298" s="15">
        <v>26</v>
      </c>
      <c r="U298" s="15">
        <v>33</v>
      </c>
      <c r="V298" s="15">
        <v>33</v>
      </c>
      <c r="W298" s="15">
        <v>34</v>
      </c>
      <c r="X298" s="15">
        <v>28</v>
      </c>
      <c r="Y298" s="15">
        <v>27</v>
      </c>
      <c r="Z298" s="34">
        <v>24</v>
      </c>
      <c r="AA298" s="17">
        <f t="shared" si="181"/>
        <v>-0.1111111111111111</v>
      </c>
      <c r="AB298" s="17">
        <f t="shared" si="200"/>
        <v>-0.27272727272727271</v>
      </c>
      <c r="AC298" s="17">
        <f t="shared" si="183"/>
        <v>0.14285714285714285</v>
      </c>
    </row>
    <row r="299" spans="1:29" outlineLevel="5" x14ac:dyDescent="0.2">
      <c r="A299" s="69" t="s">
        <v>359</v>
      </c>
      <c r="B299" s="31" t="s">
        <v>373</v>
      </c>
      <c r="C299" s="32"/>
      <c r="D299" s="20" t="s">
        <v>376</v>
      </c>
      <c r="E299" s="12">
        <v>444</v>
      </c>
      <c r="F299" s="33">
        <v>5060</v>
      </c>
      <c r="G299" s="101">
        <v>12</v>
      </c>
      <c r="H299" s="101">
        <v>12</v>
      </c>
      <c r="I299" s="101">
        <v>11</v>
      </c>
      <c r="J299" s="101">
        <v>15</v>
      </c>
      <c r="K299" s="101">
        <v>11</v>
      </c>
      <c r="L299" s="101">
        <v>11</v>
      </c>
      <c r="M299" s="101">
        <v>17</v>
      </c>
      <c r="N299" s="15">
        <v>14</v>
      </c>
      <c r="O299" s="15">
        <v>12</v>
      </c>
      <c r="P299" s="15">
        <v>9</v>
      </c>
      <c r="Q299" s="15">
        <v>9</v>
      </c>
      <c r="R299" s="15">
        <v>12</v>
      </c>
      <c r="S299" s="15">
        <v>7</v>
      </c>
      <c r="T299" s="15">
        <v>13</v>
      </c>
      <c r="U299" s="15">
        <v>15</v>
      </c>
      <c r="V299" s="15">
        <f>25-2</f>
        <v>23</v>
      </c>
      <c r="W299" s="15">
        <f>20-1</f>
        <v>19</v>
      </c>
      <c r="X299" s="15">
        <v>16</v>
      </c>
      <c r="Y299" s="15">
        <v>8</v>
      </c>
      <c r="Z299" s="34">
        <v>6</v>
      </c>
      <c r="AA299" s="17">
        <f t="shared" si="181"/>
        <v>-0.25</v>
      </c>
      <c r="AB299" s="17">
        <f t="shared" si="200"/>
        <v>-0.6</v>
      </c>
      <c r="AC299" s="17">
        <f t="shared" si="183"/>
        <v>-0.33333333333333331</v>
      </c>
    </row>
    <row r="300" spans="1:29" s="44" customFormat="1" outlineLevel="4" x14ac:dyDescent="0.2">
      <c r="A300" s="38"/>
      <c r="B300" s="39" t="s">
        <v>377</v>
      </c>
      <c r="C300" s="40"/>
      <c r="D300" s="24"/>
      <c r="E300" s="25"/>
      <c r="F300" s="41"/>
      <c r="G300" s="41">
        <f t="shared" ref="G300:M300" si="207">SUBTOTAL(9,G297:G299)</f>
        <v>42</v>
      </c>
      <c r="H300" s="41">
        <f t="shared" si="207"/>
        <v>41</v>
      </c>
      <c r="I300" s="41">
        <f t="shared" si="207"/>
        <v>39</v>
      </c>
      <c r="J300" s="41">
        <f t="shared" si="207"/>
        <v>38</v>
      </c>
      <c r="K300" s="41">
        <f t="shared" si="207"/>
        <v>33</v>
      </c>
      <c r="L300" s="41">
        <f t="shared" si="207"/>
        <v>36</v>
      </c>
      <c r="M300" s="41">
        <f t="shared" si="207"/>
        <v>39</v>
      </c>
      <c r="N300" s="42">
        <f t="shared" ref="N300:U300" si="208">SUBTOTAL(9,N297:N299)</f>
        <v>30</v>
      </c>
      <c r="O300" s="42">
        <f t="shared" si="208"/>
        <v>31</v>
      </c>
      <c r="P300" s="42">
        <f t="shared" si="208"/>
        <v>55</v>
      </c>
      <c r="Q300" s="42">
        <f t="shared" si="208"/>
        <v>67</v>
      </c>
      <c r="R300" s="42">
        <f t="shared" si="208"/>
        <v>81</v>
      </c>
      <c r="S300" s="42">
        <f t="shared" si="208"/>
        <v>77</v>
      </c>
      <c r="T300" s="42">
        <f t="shared" si="208"/>
        <v>93</v>
      </c>
      <c r="U300" s="42">
        <f t="shared" si="208"/>
        <v>91</v>
      </c>
      <c r="V300" s="28">
        <f>SUBTOTAL(9,V297:V299)</f>
        <v>112</v>
      </c>
      <c r="W300" s="28">
        <f>SUBTOTAL(9,W297:W299)</f>
        <v>116</v>
      </c>
      <c r="X300" s="28">
        <f>SUBTOTAL(9,X297:X299)</f>
        <v>116</v>
      </c>
      <c r="Y300" s="28">
        <f>SUBTOTAL(9,Y297:Y299)</f>
        <v>104</v>
      </c>
      <c r="Z300" s="43">
        <f>SUBTOTAL(9,Z297:Z299)</f>
        <v>111</v>
      </c>
      <c r="AA300" s="17">
        <f t="shared" si="181"/>
        <v>6.7307692307692304E-2</v>
      </c>
      <c r="AB300" s="17">
        <f t="shared" si="200"/>
        <v>0.21978021978021978</v>
      </c>
      <c r="AC300" s="17">
        <f t="shared" si="183"/>
        <v>1.0181818181818181</v>
      </c>
    </row>
    <row r="301" spans="1:29" outlineLevel="6" x14ac:dyDescent="0.2">
      <c r="A301" s="69" t="s">
        <v>359</v>
      </c>
      <c r="B301" s="31" t="s">
        <v>378</v>
      </c>
      <c r="C301" s="32" t="s">
        <v>378</v>
      </c>
      <c r="D301" s="20" t="s">
        <v>379</v>
      </c>
      <c r="E301" s="12">
        <v>435</v>
      </c>
      <c r="F301" s="33">
        <v>5160</v>
      </c>
      <c r="G301" s="101">
        <v>355</v>
      </c>
      <c r="H301" s="101">
        <v>343</v>
      </c>
      <c r="I301" s="101">
        <v>339</v>
      </c>
      <c r="J301" s="101">
        <v>349</v>
      </c>
      <c r="K301" s="101">
        <v>353</v>
      </c>
      <c r="L301" s="101">
        <v>314</v>
      </c>
      <c r="M301" s="101">
        <v>333</v>
      </c>
      <c r="N301" s="15">
        <v>302</v>
      </c>
      <c r="O301" s="15">
        <v>241</v>
      </c>
      <c r="P301" s="15">
        <v>245</v>
      </c>
      <c r="Q301" s="15">
        <v>232</v>
      </c>
      <c r="R301" s="15">
        <v>211</v>
      </c>
      <c r="S301" s="15">
        <v>231</v>
      </c>
      <c r="T301" s="15">
        <v>287</v>
      </c>
      <c r="U301" s="15">
        <v>369</v>
      </c>
      <c r="V301" s="15">
        <f>497-37</f>
        <v>460</v>
      </c>
      <c r="W301" s="15">
        <f>625-13</f>
        <v>612</v>
      </c>
      <c r="X301" s="15">
        <v>707</v>
      </c>
      <c r="Y301" s="15">
        <v>743</v>
      </c>
      <c r="Z301" s="34">
        <v>763</v>
      </c>
      <c r="AA301" s="17">
        <f t="shared" si="181"/>
        <v>2.6917900403768506E-2</v>
      </c>
      <c r="AB301" s="17">
        <f t="shared" si="200"/>
        <v>1.0677506775067751</v>
      </c>
      <c r="AC301" s="17">
        <f t="shared" si="183"/>
        <v>2.1142857142857143</v>
      </c>
    </row>
    <row r="302" spans="1:29" ht="25.5" outlineLevel="6" x14ac:dyDescent="0.2">
      <c r="A302" s="69" t="s">
        <v>359</v>
      </c>
      <c r="B302" s="31" t="s">
        <v>378</v>
      </c>
      <c r="C302" s="32" t="s">
        <v>378</v>
      </c>
      <c r="D302" s="74" t="s">
        <v>380</v>
      </c>
      <c r="E302" s="12"/>
      <c r="F302" s="33">
        <v>5161</v>
      </c>
      <c r="G302" s="101">
        <v>1</v>
      </c>
      <c r="H302" s="101">
        <v>8</v>
      </c>
      <c r="I302" s="101">
        <v>8</v>
      </c>
      <c r="J302" s="101">
        <v>2</v>
      </c>
      <c r="K302" s="101"/>
      <c r="L302" s="101"/>
      <c r="M302" s="101"/>
      <c r="N302" s="15">
        <v>0</v>
      </c>
      <c r="O302" s="15">
        <v>1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/>
      <c r="W302" s="15"/>
      <c r="X302" s="15"/>
      <c r="Y302" s="15"/>
      <c r="Z302" s="34"/>
      <c r="AA302" s="17" t="str">
        <f t="shared" si="181"/>
        <v/>
      </c>
      <c r="AB302" s="17" t="str">
        <f t="shared" si="200"/>
        <v/>
      </c>
      <c r="AC302" s="17" t="str">
        <f t="shared" si="183"/>
        <v/>
      </c>
    </row>
    <row r="303" spans="1:29" s="44" customFormat="1" outlineLevel="4" x14ac:dyDescent="0.2">
      <c r="A303" s="38"/>
      <c r="B303" s="39" t="s">
        <v>381</v>
      </c>
      <c r="C303" s="40"/>
      <c r="D303" s="75"/>
      <c r="E303" s="25"/>
      <c r="F303" s="41"/>
      <c r="G303" s="102">
        <f t="shared" ref="G303:M303" si="209">SUBTOTAL(9,G301:G302)</f>
        <v>356</v>
      </c>
      <c r="H303" s="102">
        <f t="shared" si="209"/>
        <v>351</v>
      </c>
      <c r="I303" s="102">
        <f t="shared" si="209"/>
        <v>347</v>
      </c>
      <c r="J303" s="102">
        <f t="shared" si="209"/>
        <v>351</v>
      </c>
      <c r="K303" s="102">
        <f t="shared" si="209"/>
        <v>353</v>
      </c>
      <c r="L303" s="102">
        <f t="shared" si="209"/>
        <v>314</v>
      </c>
      <c r="M303" s="102">
        <f t="shared" si="209"/>
        <v>333</v>
      </c>
      <c r="N303" s="28">
        <f t="shared" ref="N303:X303" si="210">SUBTOTAL(9,N301:N302)</f>
        <v>302</v>
      </c>
      <c r="O303" s="28">
        <f t="shared" si="210"/>
        <v>242</v>
      </c>
      <c r="P303" s="28">
        <f t="shared" si="210"/>
        <v>245</v>
      </c>
      <c r="Q303" s="28">
        <f t="shared" si="210"/>
        <v>232</v>
      </c>
      <c r="R303" s="28">
        <f t="shared" si="210"/>
        <v>211</v>
      </c>
      <c r="S303" s="28">
        <f t="shared" si="210"/>
        <v>231</v>
      </c>
      <c r="T303" s="28">
        <f t="shared" si="210"/>
        <v>287</v>
      </c>
      <c r="U303" s="28">
        <f t="shared" si="210"/>
        <v>369</v>
      </c>
      <c r="V303" s="28">
        <f t="shared" si="210"/>
        <v>460</v>
      </c>
      <c r="W303" s="28">
        <f t="shared" si="210"/>
        <v>612</v>
      </c>
      <c r="X303" s="28">
        <f t="shared" si="210"/>
        <v>707</v>
      </c>
      <c r="Y303" s="28">
        <f t="shared" ref="Y303:Z303" si="211">SUBTOTAL(9,Y301:Y302)</f>
        <v>743</v>
      </c>
      <c r="Z303" s="43">
        <f t="shared" si="211"/>
        <v>763</v>
      </c>
      <c r="AA303" s="17">
        <f t="shared" si="181"/>
        <v>2.6917900403768506E-2</v>
      </c>
      <c r="AB303" s="17">
        <f t="shared" si="200"/>
        <v>1.0677506775067751</v>
      </c>
      <c r="AC303" s="17">
        <f t="shared" si="183"/>
        <v>2.1142857142857143</v>
      </c>
    </row>
    <row r="304" spans="1:29" s="47" customFormat="1" outlineLevel="6" x14ac:dyDescent="0.2">
      <c r="A304" s="69" t="s">
        <v>359</v>
      </c>
      <c r="B304" s="31" t="s">
        <v>275</v>
      </c>
      <c r="C304" s="32" t="s">
        <v>275</v>
      </c>
      <c r="D304" s="20" t="s">
        <v>282</v>
      </c>
      <c r="E304" s="12"/>
      <c r="F304" s="46" t="s">
        <v>283</v>
      </c>
      <c r="G304" s="101"/>
      <c r="H304" s="101"/>
      <c r="I304" s="101"/>
      <c r="J304" s="101"/>
      <c r="K304" s="101"/>
      <c r="L304" s="101"/>
      <c r="M304" s="101"/>
      <c r="N304" s="15"/>
      <c r="O304" s="15"/>
      <c r="P304" s="15"/>
      <c r="Q304" s="15"/>
      <c r="R304" s="15">
        <v>0</v>
      </c>
      <c r="S304" s="15">
        <v>2</v>
      </c>
      <c r="T304" s="15">
        <v>5</v>
      </c>
      <c r="U304" s="15">
        <v>2</v>
      </c>
      <c r="V304" s="15">
        <v>1</v>
      </c>
      <c r="W304" s="15">
        <v>1</v>
      </c>
      <c r="X304" s="15"/>
      <c r="Y304" s="15">
        <v>1</v>
      </c>
      <c r="Z304" s="34"/>
      <c r="AA304" s="17">
        <f t="shared" si="181"/>
        <v>-1</v>
      </c>
      <c r="AB304" s="17">
        <f t="shared" si="200"/>
        <v>-1</v>
      </c>
      <c r="AC304" s="17" t="str">
        <f t="shared" si="183"/>
        <v/>
      </c>
    </row>
    <row r="305" spans="1:29" ht="12.75" customHeight="1" outlineLevel="6" x14ac:dyDescent="0.2">
      <c r="A305" s="69" t="s">
        <v>359</v>
      </c>
      <c r="B305" s="31" t="s">
        <v>275</v>
      </c>
      <c r="C305" s="32" t="s">
        <v>275</v>
      </c>
      <c r="D305" s="20" t="s">
        <v>356</v>
      </c>
      <c r="E305" s="12"/>
      <c r="F305" s="33">
        <v>5540</v>
      </c>
      <c r="G305" s="101"/>
      <c r="H305" s="101"/>
      <c r="I305" s="101"/>
      <c r="J305" s="101"/>
      <c r="K305" s="101"/>
      <c r="L305" s="101"/>
      <c r="M305" s="101"/>
      <c r="N305" s="15"/>
      <c r="O305" s="70"/>
      <c r="P305" s="70"/>
      <c r="Q305" s="15"/>
      <c r="R305" s="15">
        <v>1</v>
      </c>
      <c r="S305" s="15"/>
      <c r="T305" s="15"/>
      <c r="U305" s="15"/>
      <c r="V305" s="15"/>
      <c r="W305" s="15"/>
      <c r="X305" s="15"/>
      <c r="Y305" s="15"/>
      <c r="Z305" s="34"/>
      <c r="AA305" s="17" t="str">
        <f t="shared" si="181"/>
        <v/>
      </c>
      <c r="AB305" s="17" t="str">
        <f t="shared" si="200"/>
        <v/>
      </c>
      <c r="AC305" s="17" t="str">
        <f t="shared" si="183"/>
        <v/>
      </c>
    </row>
    <row r="306" spans="1:29" ht="12.75" customHeight="1" outlineLevel="6" x14ac:dyDescent="0.2">
      <c r="A306" s="69" t="s">
        <v>359</v>
      </c>
      <c r="B306" s="31" t="s">
        <v>275</v>
      </c>
      <c r="C306" s="32" t="s">
        <v>275</v>
      </c>
      <c r="D306" s="20" t="s">
        <v>356</v>
      </c>
      <c r="E306" s="12"/>
      <c r="F306" s="33">
        <v>5560</v>
      </c>
      <c r="G306" s="101"/>
      <c r="H306" s="101"/>
      <c r="I306" s="101"/>
      <c r="J306" s="101"/>
      <c r="K306" s="101"/>
      <c r="L306" s="101"/>
      <c r="M306" s="101"/>
      <c r="N306" s="15"/>
      <c r="O306" s="70"/>
      <c r="P306" s="70"/>
      <c r="Q306" s="15">
        <v>1</v>
      </c>
      <c r="R306" s="52"/>
      <c r="S306" s="52"/>
      <c r="T306" s="52"/>
      <c r="U306" s="52"/>
      <c r="V306" s="52"/>
      <c r="W306" s="52"/>
      <c r="X306" s="52"/>
      <c r="Y306" s="52"/>
      <c r="Z306" s="53"/>
      <c r="AA306" s="17" t="str">
        <f t="shared" si="181"/>
        <v/>
      </c>
      <c r="AB306" s="17" t="str">
        <f t="shared" si="200"/>
        <v/>
      </c>
      <c r="AC306" s="17" t="str">
        <f t="shared" si="183"/>
        <v/>
      </c>
    </row>
    <row r="307" spans="1:29" ht="12.75" customHeight="1" outlineLevel="6" x14ac:dyDescent="0.2">
      <c r="A307" s="69" t="s">
        <v>359</v>
      </c>
      <c r="B307" s="31" t="s">
        <v>275</v>
      </c>
      <c r="C307" s="32" t="s">
        <v>275</v>
      </c>
      <c r="D307" s="20" t="s">
        <v>356</v>
      </c>
      <c r="E307" s="12"/>
      <c r="F307" s="33">
        <v>5590</v>
      </c>
      <c r="G307" s="101"/>
      <c r="H307" s="101"/>
      <c r="I307" s="101"/>
      <c r="J307" s="101"/>
      <c r="K307" s="101"/>
      <c r="L307" s="101"/>
      <c r="M307" s="101"/>
      <c r="N307" s="15"/>
      <c r="O307" s="70"/>
      <c r="P307" s="70"/>
      <c r="Q307" s="15"/>
      <c r="R307" s="15">
        <v>1</v>
      </c>
      <c r="S307" s="15"/>
      <c r="T307" s="15"/>
      <c r="U307" s="15"/>
      <c r="V307" s="15"/>
      <c r="W307" s="15"/>
      <c r="X307" s="15"/>
      <c r="Y307" s="15"/>
      <c r="Z307" s="34"/>
      <c r="AA307" s="17" t="str">
        <f t="shared" si="181"/>
        <v/>
      </c>
      <c r="AB307" s="17" t="str">
        <f t="shared" si="200"/>
        <v/>
      </c>
      <c r="AC307" s="17" t="str">
        <f t="shared" si="183"/>
        <v/>
      </c>
    </row>
    <row r="308" spans="1:29" outlineLevel="6" x14ac:dyDescent="0.2">
      <c r="A308" s="69" t="s">
        <v>359</v>
      </c>
      <c r="B308" s="31" t="s">
        <v>275</v>
      </c>
      <c r="C308" s="32" t="s">
        <v>275</v>
      </c>
      <c r="D308" s="20" t="s">
        <v>382</v>
      </c>
      <c r="E308" s="12" t="s">
        <v>383</v>
      </c>
      <c r="F308" s="33">
        <v>5005</v>
      </c>
      <c r="G308" s="101">
        <v>121</v>
      </c>
      <c r="H308" s="101">
        <v>180</v>
      </c>
      <c r="I308" s="101">
        <v>280</v>
      </c>
      <c r="J308" s="101">
        <v>302</v>
      </c>
      <c r="K308" s="101">
        <v>247</v>
      </c>
      <c r="L308" s="101">
        <v>227</v>
      </c>
      <c r="M308" s="101">
        <v>156</v>
      </c>
      <c r="N308" s="15">
        <v>136</v>
      </c>
      <c r="O308" s="15">
        <v>118</v>
      </c>
      <c r="P308" s="15">
        <v>120</v>
      </c>
      <c r="Q308" s="15">
        <v>115</v>
      </c>
      <c r="R308" s="15">
        <v>105</v>
      </c>
      <c r="S308" s="15">
        <v>131</v>
      </c>
      <c r="T308" s="15">
        <v>143</v>
      </c>
      <c r="U308" s="15">
        <v>148</v>
      </c>
      <c r="V308" s="15">
        <f>202-5</f>
        <v>197</v>
      </c>
      <c r="W308" s="15">
        <f>292-9</f>
        <v>283</v>
      </c>
      <c r="X308" s="15">
        <v>386</v>
      </c>
      <c r="Y308" s="15">
        <v>426</v>
      </c>
      <c r="Z308" s="34">
        <v>465</v>
      </c>
      <c r="AA308" s="17">
        <f t="shared" si="181"/>
        <v>9.154929577464789E-2</v>
      </c>
      <c r="AB308" s="17">
        <f t="shared" si="200"/>
        <v>2.1418918918918921</v>
      </c>
      <c r="AC308" s="17">
        <f t="shared" si="183"/>
        <v>2.875</v>
      </c>
    </row>
    <row r="309" spans="1:29" outlineLevel="6" x14ac:dyDescent="0.2">
      <c r="A309" s="69" t="s">
        <v>359</v>
      </c>
      <c r="B309" s="31" t="s">
        <v>275</v>
      </c>
      <c r="C309" s="32" t="s">
        <v>275</v>
      </c>
      <c r="D309" s="20" t="s">
        <v>384</v>
      </c>
      <c r="E309" s="12"/>
      <c r="F309" s="33">
        <v>5010</v>
      </c>
      <c r="G309" s="101">
        <v>129</v>
      </c>
      <c r="H309" s="101">
        <v>113</v>
      </c>
      <c r="I309" s="101">
        <v>89</v>
      </c>
      <c r="J309" s="101">
        <v>105</v>
      </c>
      <c r="K309" s="101">
        <v>108</v>
      </c>
      <c r="L309" s="101">
        <v>75</v>
      </c>
      <c r="M309" s="101">
        <v>79</v>
      </c>
      <c r="N309" s="15">
        <v>78</v>
      </c>
      <c r="O309" s="15">
        <v>62</v>
      </c>
      <c r="P309" s="15">
        <v>67</v>
      </c>
      <c r="Q309" s="15">
        <v>55</v>
      </c>
      <c r="R309" s="15">
        <v>56</v>
      </c>
      <c r="S309" s="15">
        <v>56</v>
      </c>
      <c r="T309" s="15">
        <v>52</v>
      </c>
      <c r="U309" s="15">
        <v>59</v>
      </c>
      <c r="V309" s="15">
        <f>66-1</f>
        <v>65</v>
      </c>
      <c r="W309" s="15">
        <f>67-1</f>
        <v>66</v>
      </c>
      <c r="X309" s="15">
        <v>68</v>
      </c>
      <c r="Y309" s="15">
        <v>74</v>
      </c>
      <c r="Z309" s="34">
        <v>75</v>
      </c>
      <c r="AA309" s="17">
        <f t="shared" si="181"/>
        <v>1.3513513513513514E-2</v>
      </c>
      <c r="AB309" s="17">
        <f t="shared" si="200"/>
        <v>0.2711864406779661</v>
      </c>
      <c r="AC309" s="17">
        <f t="shared" si="183"/>
        <v>0.11940298507462686</v>
      </c>
    </row>
    <row r="310" spans="1:29" outlineLevel="6" x14ac:dyDescent="0.2">
      <c r="A310" s="69" t="s">
        <v>359</v>
      </c>
      <c r="B310" s="31" t="s">
        <v>275</v>
      </c>
      <c r="C310" s="32" t="s">
        <v>275</v>
      </c>
      <c r="D310" s="20" t="s">
        <v>385</v>
      </c>
      <c r="E310" s="12"/>
      <c r="F310" s="33">
        <v>5015</v>
      </c>
      <c r="G310" s="101"/>
      <c r="H310" s="101"/>
      <c r="I310" s="101"/>
      <c r="J310" s="101"/>
      <c r="K310" s="101"/>
      <c r="L310" s="101"/>
      <c r="M310" s="101"/>
      <c r="N310" s="15"/>
      <c r="O310" s="70"/>
      <c r="P310" s="70"/>
      <c r="Q310" s="52"/>
      <c r="R310" s="52"/>
      <c r="S310" s="52"/>
      <c r="T310" s="15"/>
      <c r="U310" s="15">
        <v>3</v>
      </c>
      <c r="V310" s="15">
        <f>6-2</f>
        <v>4</v>
      </c>
      <c r="W310" s="15">
        <v>2</v>
      </c>
      <c r="X310" s="15">
        <v>5</v>
      </c>
      <c r="Y310" s="15">
        <v>3</v>
      </c>
      <c r="Z310" s="34"/>
      <c r="AA310" s="17">
        <f t="shared" si="181"/>
        <v>-1</v>
      </c>
      <c r="AB310" s="17">
        <f t="shared" si="200"/>
        <v>-1</v>
      </c>
      <c r="AC310" s="17" t="str">
        <f t="shared" si="183"/>
        <v/>
      </c>
    </row>
    <row r="311" spans="1:29" ht="13.5" customHeight="1" outlineLevel="4" x14ac:dyDescent="0.2">
      <c r="A311" s="69" t="s">
        <v>359</v>
      </c>
      <c r="B311" s="31"/>
      <c r="C311" s="32"/>
      <c r="D311" s="20" t="s">
        <v>386</v>
      </c>
      <c r="E311" s="12"/>
      <c r="F311" s="33">
        <v>5000</v>
      </c>
      <c r="G311" s="101">
        <v>87</v>
      </c>
      <c r="H311" s="101">
        <v>2</v>
      </c>
      <c r="I311" s="101"/>
      <c r="J311" s="101"/>
      <c r="K311" s="101"/>
      <c r="L311" s="101"/>
      <c r="M311" s="101"/>
      <c r="N311" s="15"/>
      <c r="O311" s="70"/>
      <c r="P311" s="70"/>
      <c r="Q311" s="52"/>
      <c r="R311" s="52"/>
      <c r="S311" s="52"/>
      <c r="T311" s="52"/>
      <c r="U311" s="52"/>
      <c r="V311" s="52"/>
      <c r="W311" s="52"/>
      <c r="X311" s="52"/>
      <c r="Y311" s="52"/>
      <c r="Z311" s="53"/>
      <c r="AA311" s="17" t="str">
        <f t="shared" si="181"/>
        <v/>
      </c>
      <c r="AB311" s="17" t="str">
        <f t="shared" si="200"/>
        <v/>
      </c>
      <c r="AC311" s="17" t="str">
        <f t="shared" si="183"/>
        <v/>
      </c>
    </row>
    <row r="312" spans="1:29" outlineLevel="4" x14ac:dyDescent="0.2">
      <c r="A312" s="69"/>
      <c r="B312" s="39" t="s">
        <v>290</v>
      </c>
      <c r="C312" s="32"/>
      <c r="D312" s="20"/>
      <c r="E312" s="12"/>
      <c r="F312" s="33"/>
      <c r="G312" s="101">
        <f t="shared" ref="G312:M312" si="212">SUBTOTAL(9,G304:G311)</f>
        <v>337</v>
      </c>
      <c r="H312" s="101">
        <f t="shared" si="212"/>
        <v>295</v>
      </c>
      <c r="I312" s="101">
        <f t="shared" si="212"/>
        <v>369</v>
      </c>
      <c r="J312" s="101">
        <f t="shared" si="212"/>
        <v>407</v>
      </c>
      <c r="K312" s="101">
        <f t="shared" si="212"/>
        <v>355</v>
      </c>
      <c r="L312" s="101">
        <f t="shared" si="212"/>
        <v>302</v>
      </c>
      <c r="M312" s="101">
        <f t="shared" si="212"/>
        <v>235</v>
      </c>
      <c r="N312" s="15">
        <f t="shared" ref="N312:W312" si="213">SUBTOTAL(9,N304:N311)</f>
        <v>214</v>
      </c>
      <c r="O312" s="15">
        <f t="shared" si="213"/>
        <v>180</v>
      </c>
      <c r="P312" s="15">
        <f t="shared" si="213"/>
        <v>187</v>
      </c>
      <c r="Q312" s="15">
        <f t="shared" si="213"/>
        <v>171</v>
      </c>
      <c r="R312" s="15">
        <f t="shared" si="213"/>
        <v>163</v>
      </c>
      <c r="S312" s="15">
        <f t="shared" si="213"/>
        <v>189</v>
      </c>
      <c r="T312" s="15">
        <f t="shared" si="213"/>
        <v>200</v>
      </c>
      <c r="U312" s="15">
        <f t="shared" si="213"/>
        <v>212</v>
      </c>
      <c r="V312" s="15">
        <f t="shared" si="213"/>
        <v>267</v>
      </c>
      <c r="W312" s="15">
        <f t="shared" si="213"/>
        <v>352</v>
      </c>
      <c r="X312" s="15">
        <f t="shared" ref="X312:Y312" si="214">SUBTOTAL(9,X304:X311)</f>
        <v>459</v>
      </c>
      <c r="Y312" s="15">
        <f t="shared" si="214"/>
        <v>504</v>
      </c>
      <c r="Z312" s="34">
        <f t="shared" ref="Z312" si="215">SUBTOTAL(9,Z304:Z311)</f>
        <v>540</v>
      </c>
      <c r="AA312" s="17">
        <f t="shared" si="181"/>
        <v>7.1428571428571425E-2</v>
      </c>
      <c r="AB312" s="17">
        <f t="shared" si="200"/>
        <v>1.5471698113207548</v>
      </c>
      <c r="AC312" s="17">
        <f t="shared" si="183"/>
        <v>1.8877005347593583</v>
      </c>
    </row>
    <row r="313" spans="1:29" s="44" customFormat="1" outlineLevel="3" x14ac:dyDescent="0.2">
      <c r="A313" s="38" t="s">
        <v>387</v>
      </c>
      <c r="B313" s="39"/>
      <c r="C313" s="40"/>
      <c r="D313" s="24"/>
      <c r="E313" s="25"/>
      <c r="F313" s="41"/>
      <c r="G313" s="102">
        <f t="shared" ref="G313:M313" si="216">SUBTOTAL(9,G287:G311)</f>
        <v>1302</v>
      </c>
      <c r="H313" s="102">
        <f t="shared" si="216"/>
        <v>1353</v>
      </c>
      <c r="I313" s="102">
        <f t="shared" si="216"/>
        <v>1389</v>
      </c>
      <c r="J313" s="102">
        <f t="shared" si="216"/>
        <v>1396</v>
      </c>
      <c r="K313" s="102">
        <f t="shared" si="216"/>
        <v>1301</v>
      </c>
      <c r="L313" s="102">
        <f t="shared" si="216"/>
        <v>1150</v>
      </c>
      <c r="M313" s="102">
        <f t="shared" si="216"/>
        <v>1086</v>
      </c>
      <c r="N313" s="28">
        <f t="shared" ref="N313:W313" si="217">SUBTOTAL(9,N287:N311)</f>
        <v>1006</v>
      </c>
      <c r="O313" s="28">
        <f t="shared" si="217"/>
        <v>926</v>
      </c>
      <c r="P313" s="28">
        <f t="shared" si="217"/>
        <v>954</v>
      </c>
      <c r="Q313" s="28">
        <f t="shared" si="217"/>
        <v>943</v>
      </c>
      <c r="R313" s="28">
        <f t="shared" si="217"/>
        <v>949</v>
      </c>
      <c r="S313" s="28">
        <f t="shared" si="217"/>
        <v>1014</v>
      </c>
      <c r="T313" s="28">
        <f t="shared" si="217"/>
        <v>1196</v>
      </c>
      <c r="U313" s="28">
        <f t="shared" si="217"/>
        <v>1395</v>
      </c>
      <c r="V313" s="28">
        <f t="shared" si="217"/>
        <v>1719</v>
      </c>
      <c r="W313" s="28">
        <f t="shared" si="217"/>
        <v>2116</v>
      </c>
      <c r="X313" s="28">
        <f t="shared" ref="X313:Y313" si="218">SUBTOTAL(9,X287:X311)</f>
        <v>2436</v>
      </c>
      <c r="Y313" s="28">
        <f t="shared" si="218"/>
        <v>2608</v>
      </c>
      <c r="Z313" s="43">
        <f t="shared" ref="Z313" si="219">SUBTOTAL(9,Z287:Z311)</f>
        <v>2779</v>
      </c>
      <c r="AA313" s="17">
        <f t="shared" si="181"/>
        <v>6.5567484662576683E-2</v>
      </c>
      <c r="AB313" s="17">
        <f t="shared" si="200"/>
        <v>0.99211469534050178</v>
      </c>
      <c r="AC313" s="17">
        <f t="shared" si="183"/>
        <v>1.9129979035639413</v>
      </c>
    </row>
    <row r="314" spans="1:29" s="72" customFormat="1" outlineLevel="6" x14ac:dyDescent="0.2">
      <c r="A314" s="35" t="s">
        <v>388</v>
      </c>
      <c r="B314" s="36" t="s">
        <v>485</v>
      </c>
      <c r="C314" s="37" t="s">
        <v>485</v>
      </c>
      <c r="D314" s="20" t="s">
        <v>389</v>
      </c>
      <c r="E314" s="12">
        <v>496</v>
      </c>
      <c r="F314" s="33">
        <v>6060</v>
      </c>
      <c r="G314" s="101">
        <v>84</v>
      </c>
      <c r="H314" s="101">
        <v>68</v>
      </c>
      <c r="I314" s="101">
        <v>55</v>
      </c>
      <c r="J314" s="101">
        <v>63</v>
      </c>
      <c r="K314" s="101">
        <v>78</v>
      </c>
      <c r="L314" s="101">
        <v>105</v>
      </c>
      <c r="M314" s="101">
        <v>104</v>
      </c>
      <c r="N314" s="15">
        <v>119</v>
      </c>
      <c r="O314" s="15">
        <v>162</v>
      </c>
      <c r="P314" s="15">
        <v>182</v>
      </c>
      <c r="Q314" s="15">
        <v>245</v>
      </c>
      <c r="R314" s="15">
        <v>232</v>
      </c>
      <c r="S314" s="15">
        <v>59</v>
      </c>
      <c r="T314" s="15">
        <v>27</v>
      </c>
      <c r="U314" s="15">
        <v>8</v>
      </c>
      <c r="V314" s="15">
        <v>7</v>
      </c>
      <c r="W314" s="15"/>
      <c r="X314" s="15"/>
      <c r="Y314" s="15"/>
      <c r="Z314" s="34"/>
      <c r="AA314" s="17" t="str">
        <f t="shared" si="181"/>
        <v/>
      </c>
      <c r="AB314" s="17">
        <f t="shared" si="200"/>
        <v>-1</v>
      </c>
      <c r="AC314" s="17">
        <f t="shared" si="183"/>
        <v>-1</v>
      </c>
    </row>
    <row r="315" spans="1:29" s="72" customFormat="1" outlineLevel="6" x14ac:dyDescent="0.2">
      <c r="A315" s="35" t="s">
        <v>388</v>
      </c>
      <c r="B315" s="36" t="s">
        <v>485</v>
      </c>
      <c r="C315" s="37" t="s">
        <v>485</v>
      </c>
      <c r="D315" s="20" t="s">
        <v>390</v>
      </c>
      <c r="E315" s="12">
        <v>497</v>
      </c>
      <c r="F315" s="46">
        <v>6061</v>
      </c>
      <c r="G315" s="101">
        <v>3</v>
      </c>
      <c r="H315" s="101"/>
      <c r="I315" s="101">
        <v>1</v>
      </c>
      <c r="J315" s="101">
        <v>1</v>
      </c>
      <c r="K315" s="101">
        <v>1</v>
      </c>
      <c r="L315" s="101">
        <v>2</v>
      </c>
      <c r="M315" s="101"/>
      <c r="N315" s="15">
        <v>3</v>
      </c>
      <c r="O315" s="15">
        <v>2</v>
      </c>
      <c r="P315" s="15">
        <v>1</v>
      </c>
      <c r="Q315" s="15">
        <v>1</v>
      </c>
      <c r="R315" s="15">
        <v>2</v>
      </c>
      <c r="S315" s="15">
        <v>0</v>
      </c>
      <c r="T315" s="15">
        <v>0</v>
      </c>
      <c r="U315" s="15">
        <v>0</v>
      </c>
      <c r="V315" s="15"/>
      <c r="W315" s="15"/>
      <c r="X315" s="15"/>
      <c r="Y315" s="15"/>
      <c r="Z315" s="34"/>
      <c r="AA315" s="17" t="str">
        <f t="shared" si="181"/>
        <v/>
      </c>
      <c r="AB315" s="17" t="str">
        <f t="shared" si="200"/>
        <v/>
      </c>
      <c r="AC315" s="17">
        <f t="shared" si="183"/>
        <v>-1</v>
      </c>
    </row>
    <row r="316" spans="1:29" s="72" customFormat="1" outlineLevel="6" x14ac:dyDescent="0.2">
      <c r="A316" s="35" t="s">
        <v>388</v>
      </c>
      <c r="B316" s="36" t="s">
        <v>485</v>
      </c>
      <c r="C316" s="37" t="s">
        <v>485</v>
      </c>
      <c r="D316" s="20" t="s">
        <v>391</v>
      </c>
      <c r="E316" s="12"/>
      <c r="F316" s="33">
        <v>6062</v>
      </c>
      <c r="G316" s="101"/>
      <c r="H316" s="101"/>
      <c r="I316" s="101"/>
      <c r="J316" s="101"/>
      <c r="K316" s="101"/>
      <c r="L316" s="101"/>
      <c r="M316" s="101">
        <v>2</v>
      </c>
      <c r="N316" s="15">
        <v>4</v>
      </c>
      <c r="O316" s="15">
        <v>3</v>
      </c>
      <c r="P316" s="15">
        <v>2</v>
      </c>
      <c r="Q316" s="15">
        <v>2</v>
      </c>
      <c r="R316" s="15">
        <v>2</v>
      </c>
      <c r="S316" s="15">
        <v>0</v>
      </c>
      <c r="T316" s="15">
        <v>0</v>
      </c>
      <c r="U316" s="15">
        <v>1</v>
      </c>
      <c r="V316" s="15"/>
      <c r="W316" s="15"/>
      <c r="X316" s="15"/>
      <c r="Y316" s="15"/>
      <c r="Z316" s="34"/>
      <c r="AA316" s="17" t="str">
        <f t="shared" si="181"/>
        <v/>
      </c>
      <c r="AB316" s="17">
        <f t="shared" si="200"/>
        <v>-1</v>
      </c>
      <c r="AC316" s="17">
        <f t="shared" si="183"/>
        <v>-1</v>
      </c>
    </row>
    <row r="317" spans="1:29" outlineLevel="6" x14ac:dyDescent="0.2">
      <c r="A317" s="35" t="s">
        <v>388</v>
      </c>
      <c r="B317" s="36" t="s">
        <v>485</v>
      </c>
      <c r="C317" s="37" t="s">
        <v>485</v>
      </c>
      <c r="D317" s="20" t="s">
        <v>392</v>
      </c>
      <c r="E317" s="12"/>
      <c r="F317" s="33">
        <v>6064</v>
      </c>
      <c r="G317" s="101">
        <v>1</v>
      </c>
      <c r="H317" s="101">
        <v>3</v>
      </c>
      <c r="I317" s="101">
        <v>1</v>
      </c>
      <c r="J317" s="101">
        <v>1</v>
      </c>
      <c r="K317" s="101">
        <v>4</v>
      </c>
      <c r="L317" s="101">
        <v>1</v>
      </c>
      <c r="M317" s="101"/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/>
      <c r="W317" s="15"/>
      <c r="X317" s="15"/>
      <c r="Y317" s="15"/>
      <c r="Z317" s="34"/>
      <c r="AA317" s="17" t="str">
        <f t="shared" si="181"/>
        <v/>
      </c>
      <c r="AB317" s="17" t="str">
        <f t="shared" si="200"/>
        <v/>
      </c>
      <c r="AC317" s="17" t="str">
        <f t="shared" si="183"/>
        <v/>
      </c>
    </row>
    <row r="318" spans="1:29" outlineLevel="6" x14ac:dyDescent="0.2">
      <c r="A318" s="35" t="s">
        <v>388</v>
      </c>
      <c r="B318" s="36" t="s">
        <v>485</v>
      </c>
      <c r="C318" s="37" t="s">
        <v>485</v>
      </c>
      <c r="D318" s="20" t="s">
        <v>393</v>
      </c>
      <c r="E318" s="12"/>
      <c r="F318" s="33">
        <v>6160</v>
      </c>
      <c r="G318" s="101"/>
      <c r="H318" s="101"/>
      <c r="I318" s="101"/>
      <c r="J318" s="101"/>
      <c r="K318" s="101"/>
      <c r="L318" s="101"/>
      <c r="M318" s="101"/>
      <c r="N318" s="15"/>
      <c r="O318" s="15"/>
      <c r="P318" s="15"/>
      <c r="Q318" s="15"/>
      <c r="R318" s="15"/>
      <c r="S318" s="15">
        <v>152</v>
      </c>
      <c r="T318" s="15">
        <v>150</v>
      </c>
      <c r="U318" s="15">
        <v>182</v>
      </c>
      <c r="V318" s="15">
        <f>183-7</f>
        <v>176</v>
      </c>
      <c r="W318" s="15">
        <v>73</v>
      </c>
      <c r="X318" s="15">
        <v>24</v>
      </c>
      <c r="Y318" s="15">
        <v>9</v>
      </c>
      <c r="Z318" s="34">
        <v>1</v>
      </c>
      <c r="AA318" s="17">
        <f t="shared" si="181"/>
        <v>-0.88888888888888884</v>
      </c>
      <c r="AB318" s="17">
        <f t="shared" si="200"/>
        <v>-0.99450549450549453</v>
      </c>
      <c r="AC318" s="17" t="str">
        <f t="shared" si="183"/>
        <v/>
      </c>
    </row>
    <row r="319" spans="1:29" outlineLevel="6" x14ac:dyDescent="0.2">
      <c r="A319" s="35" t="s">
        <v>388</v>
      </c>
      <c r="B319" s="36" t="s">
        <v>485</v>
      </c>
      <c r="C319" s="37" t="s">
        <v>485</v>
      </c>
      <c r="D319" s="20" t="s">
        <v>482</v>
      </c>
      <c r="E319" s="12"/>
      <c r="F319" s="46" t="s">
        <v>475</v>
      </c>
      <c r="G319" s="101"/>
      <c r="H319" s="101"/>
      <c r="I319" s="101"/>
      <c r="J319" s="101"/>
      <c r="K319" s="101"/>
      <c r="L319" s="101"/>
      <c r="M319" s="101"/>
      <c r="N319" s="15"/>
      <c r="O319" s="15"/>
      <c r="P319" s="15"/>
      <c r="Q319" s="15"/>
      <c r="R319" s="15"/>
      <c r="S319" s="15">
        <v>1</v>
      </c>
      <c r="T319" s="15">
        <v>2</v>
      </c>
      <c r="U319" s="15">
        <v>2</v>
      </c>
      <c r="V319" s="15">
        <v>18</v>
      </c>
      <c r="W319" s="15">
        <f>127-3</f>
        <v>124</v>
      </c>
      <c r="X319" s="15">
        <v>166</v>
      </c>
      <c r="Y319" s="15">
        <v>184</v>
      </c>
      <c r="Z319" s="34">
        <v>151</v>
      </c>
      <c r="AA319" s="17">
        <f t="shared" si="181"/>
        <v>-0.17934782608695651</v>
      </c>
      <c r="AB319" s="17">
        <f t="shared" si="200"/>
        <v>74.5</v>
      </c>
      <c r="AC319" s="17" t="str">
        <f t="shared" si="183"/>
        <v/>
      </c>
    </row>
    <row r="320" spans="1:29" outlineLevel="6" x14ac:dyDescent="0.2">
      <c r="A320" s="35" t="s">
        <v>388</v>
      </c>
      <c r="B320" s="36" t="s">
        <v>485</v>
      </c>
      <c r="C320" s="37" t="s">
        <v>485</v>
      </c>
      <c r="D320" s="20" t="s">
        <v>394</v>
      </c>
      <c r="E320" s="12"/>
      <c r="F320" s="33">
        <v>6162</v>
      </c>
      <c r="G320" s="101"/>
      <c r="H320" s="101"/>
      <c r="I320" s="101"/>
      <c r="J320" s="101"/>
      <c r="K320" s="101"/>
      <c r="L320" s="101"/>
      <c r="M320" s="101"/>
      <c r="N320" s="15"/>
      <c r="O320" s="15"/>
      <c r="P320" s="15"/>
      <c r="Q320" s="15"/>
      <c r="R320" s="15"/>
      <c r="S320" s="15">
        <v>0</v>
      </c>
      <c r="T320" s="15">
        <v>1</v>
      </c>
      <c r="U320" s="15">
        <v>0</v>
      </c>
      <c r="V320" s="15">
        <v>1</v>
      </c>
      <c r="W320" s="15"/>
      <c r="X320" s="15"/>
      <c r="Y320" s="15"/>
      <c r="Z320" s="34"/>
      <c r="AA320" s="17" t="str">
        <f t="shared" si="181"/>
        <v/>
      </c>
      <c r="AB320" s="17" t="str">
        <f t="shared" si="200"/>
        <v/>
      </c>
      <c r="AC320" s="17" t="str">
        <f t="shared" si="183"/>
        <v/>
      </c>
    </row>
    <row r="321" spans="1:29" outlineLevel="6" x14ac:dyDescent="0.2">
      <c r="A321" s="35" t="s">
        <v>388</v>
      </c>
      <c r="B321" s="36" t="s">
        <v>485</v>
      </c>
      <c r="C321" s="37" t="s">
        <v>485</v>
      </c>
      <c r="D321" s="20" t="s">
        <v>477</v>
      </c>
      <c r="E321" s="12"/>
      <c r="F321" s="46" t="s">
        <v>476</v>
      </c>
      <c r="G321" s="101"/>
      <c r="H321" s="101"/>
      <c r="I321" s="101"/>
      <c r="J321" s="101"/>
      <c r="K321" s="101"/>
      <c r="L321" s="101"/>
      <c r="M321" s="101"/>
      <c r="N321" s="15">
        <v>2</v>
      </c>
      <c r="O321" s="15">
        <v>1</v>
      </c>
      <c r="P321" s="15">
        <v>1</v>
      </c>
      <c r="Q321" s="15">
        <v>2</v>
      </c>
      <c r="R321" s="15">
        <v>2</v>
      </c>
      <c r="S321" s="15">
        <v>3</v>
      </c>
      <c r="T321" s="15">
        <v>1</v>
      </c>
      <c r="U321" s="15">
        <v>0</v>
      </c>
      <c r="V321" s="15">
        <v>1</v>
      </c>
      <c r="W321" s="15">
        <v>1</v>
      </c>
      <c r="X321" s="15">
        <v>1</v>
      </c>
      <c r="Y321" s="15">
        <v>1</v>
      </c>
      <c r="Z321" s="34">
        <v>4</v>
      </c>
      <c r="AA321" s="17">
        <f t="shared" si="181"/>
        <v>3</v>
      </c>
      <c r="AB321" s="17" t="str">
        <f t="shared" si="200"/>
        <v/>
      </c>
      <c r="AC321" s="17">
        <f t="shared" si="183"/>
        <v>3</v>
      </c>
    </row>
    <row r="322" spans="1:29" outlineLevel="6" x14ac:dyDescent="0.2">
      <c r="A322" s="35" t="s">
        <v>388</v>
      </c>
      <c r="B322" s="36" t="s">
        <v>485</v>
      </c>
      <c r="C322" s="37" t="s">
        <v>485</v>
      </c>
      <c r="D322" s="20" t="s">
        <v>478</v>
      </c>
      <c r="E322" s="12"/>
      <c r="F322" s="46" t="s">
        <v>471</v>
      </c>
      <c r="G322" s="101"/>
      <c r="H322" s="101"/>
      <c r="I322" s="101"/>
      <c r="J322" s="101"/>
      <c r="K322" s="101">
        <v>1</v>
      </c>
      <c r="L322" s="101">
        <v>2</v>
      </c>
      <c r="M322" s="101">
        <v>3</v>
      </c>
      <c r="N322" s="15">
        <v>1</v>
      </c>
      <c r="O322" s="15">
        <v>5</v>
      </c>
      <c r="P322" s="15">
        <v>2</v>
      </c>
      <c r="Q322" s="15">
        <v>4</v>
      </c>
      <c r="R322" s="15">
        <v>3</v>
      </c>
      <c r="S322" s="15">
        <v>4</v>
      </c>
      <c r="T322" s="15">
        <v>6</v>
      </c>
      <c r="U322" s="15">
        <v>5</v>
      </c>
      <c r="V322" s="15">
        <v>2</v>
      </c>
      <c r="W322" s="15">
        <v>1</v>
      </c>
      <c r="X322" s="15">
        <v>2</v>
      </c>
      <c r="Y322" s="15">
        <v>2</v>
      </c>
      <c r="Z322" s="34">
        <v>5</v>
      </c>
      <c r="AA322" s="17">
        <f t="shared" si="181"/>
        <v>1.5</v>
      </c>
      <c r="AB322" s="17">
        <f t="shared" si="200"/>
        <v>0</v>
      </c>
      <c r="AC322" s="17">
        <f t="shared" si="183"/>
        <v>1.5</v>
      </c>
    </row>
    <row r="323" spans="1:29" outlineLevel="6" x14ac:dyDescent="0.2">
      <c r="A323" s="35" t="s">
        <v>388</v>
      </c>
      <c r="B323" s="36" t="s">
        <v>485</v>
      </c>
      <c r="C323" s="37" t="s">
        <v>485</v>
      </c>
      <c r="D323" s="20" t="s">
        <v>395</v>
      </c>
      <c r="E323" s="12"/>
      <c r="F323" s="46" t="s">
        <v>396</v>
      </c>
      <c r="G323" s="101">
        <v>4</v>
      </c>
      <c r="H323" s="101">
        <v>5</v>
      </c>
      <c r="I323" s="101">
        <v>6</v>
      </c>
      <c r="J323" s="101">
        <v>5</v>
      </c>
      <c r="K323" s="101">
        <v>4</v>
      </c>
      <c r="L323" s="101">
        <v>3</v>
      </c>
      <c r="M323" s="101">
        <v>3</v>
      </c>
      <c r="N323" s="15">
        <v>7</v>
      </c>
      <c r="O323" s="15">
        <v>5</v>
      </c>
      <c r="P323" s="15">
        <v>6</v>
      </c>
      <c r="Q323" s="15">
        <v>9</v>
      </c>
      <c r="R323" s="15">
        <v>9</v>
      </c>
      <c r="S323" s="15">
        <v>7</v>
      </c>
      <c r="T323" s="15">
        <v>10</v>
      </c>
      <c r="U323" s="15">
        <v>11</v>
      </c>
      <c r="V323" s="15">
        <v>6</v>
      </c>
      <c r="W323" s="15">
        <v>5</v>
      </c>
      <c r="X323" s="15">
        <v>2</v>
      </c>
      <c r="Y323" s="15"/>
      <c r="Z323" s="34"/>
      <c r="AA323" s="17" t="str">
        <f t="shared" si="181"/>
        <v/>
      </c>
      <c r="AB323" s="17">
        <f t="shared" si="200"/>
        <v>-1</v>
      </c>
      <c r="AC323" s="17">
        <f t="shared" si="183"/>
        <v>-1</v>
      </c>
    </row>
    <row r="324" spans="1:29" outlineLevel="6" x14ac:dyDescent="0.2">
      <c r="A324" s="35" t="s">
        <v>388</v>
      </c>
      <c r="B324" s="36" t="s">
        <v>485</v>
      </c>
      <c r="C324" s="37" t="s">
        <v>485</v>
      </c>
      <c r="D324" s="20" t="s">
        <v>481</v>
      </c>
      <c r="E324" s="12"/>
      <c r="F324" s="46" t="s">
        <v>473</v>
      </c>
      <c r="G324" s="101"/>
      <c r="H324" s="101"/>
      <c r="I324" s="101"/>
      <c r="J324" s="101"/>
      <c r="K324" s="101"/>
      <c r="L324" s="101">
        <v>3</v>
      </c>
      <c r="M324" s="101">
        <v>13</v>
      </c>
      <c r="N324" s="15">
        <v>15</v>
      </c>
      <c r="O324" s="15">
        <v>12</v>
      </c>
      <c r="P324" s="15">
        <v>19</v>
      </c>
      <c r="Q324" s="15">
        <v>23</v>
      </c>
      <c r="R324" s="15">
        <v>21</v>
      </c>
      <c r="S324" s="15">
        <v>23</v>
      </c>
      <c r="T324" s="15">
        <v>21</v>
      </c>
      <c r="U324" s="15">
        <v>22</v>
      </c>
      <c r="V324" s="15">
        <v>36</v>
      </c>
      <c r="W324" s="15">
        <f>44-1</f>
        <v>43</v>
      </c>
      <c r="X324" s="15">
        <v>36</v>
      </c>
      <c r="Y324" s="15">
        <v>42</v>
      </c>
      <c r="Z324" s="34">
        <v>56</v>
      </c>
      <c r="AA324" s="17">
        <f t="shared" si="181"/>
        <v>0.33333333333333331</v>
      </c>
      <c r="AB324" s="17">
        <f t="shared" si="200"/>
        <v>1.5454545454545454</v>
      </c>
      <c r="AC324" s="17">
        <f t="shared" si="183"/>
        <v>1.9473684210526316</v>
      </c>
    </row>
    <row r="325" spans="1:29" outlineLevel="6" x14ac:dyDescent="0.2">
      <c r="A325" s="35" t="s">
        <v>388</v>
      </c>
      <c r="B325" s="36" t="s">
        <v>485</v>
      </c>
      <c r="C325" s="37" t="s">
        <v>485</v>
      </c>
      <c r="D325" s="20" t="s">
        <v>479</v>
      </c>
      <c r="E325" s="12"/>
      <c r="F325" s="46" t="s">
        <v>472</v>
      </c>
      <c r="G325" s="101"/>
      <c r="H325" s="101"/>
      <c r="I325" s="101"/>
      <c r="J325" s="101"/>
      <c r="K325" s="101"/>
      <c r="L325" s="101"/>
      <c r="M325" s="101"/>
      <c r="N325" s="15"/>
      <c r="O325" s="15"/>
      <c r="P325" s="15">
        <v>1</v>
      </c>
      <c r="Q325" s="15">
        <v>1</v>
      </c>
      <c r="R325" s="15">
        <v>11</v>
      </c>
      <c r="S325" s="15">
        <v>13</v>
      </c>
      <c r="T325" s="15">
        <v>19</v>
      </c>
      <c r="U325" s="15">
        <v>17</v>
      </c>
      <c r="V325" s="15">
        <v>15</v>
      </c>
      <c r="W325" s="15">
        <v>28</v>
      </c>
      <c r="X325" s="15">
        <v>31</v>
      </c>
      <c r="Y325" s="15">
        <v>27</v>
      </c>
      <c r="Z325" s="34">
        <v>41</v>
      </c>
      <c r="AA325" s="17">
        <f t="shared" si="181"/>
        <v>0.51851851851851849</v>
      </c>
      <c r="AB325" s="17">
        <f t="shared" si="200"/>
        <v>1.411764705882353</v>
      </c>
      <c r="AC325" s="17">
        <f t="shared" si="183"/>
        <v>40</v>
      </c>
    </row>
    <row r="326" spans="1:29" outlineLevel="6" x14ac:dyDescent="0.2">
      <c r="A326" s="35" t="s">
        <v>388</v>
      </c>
      <c r="B326" s="36" t="s">
        <v>485</v>
      </c>
      <c r="C326" s="37" t="s">
        <v>485</v>
      </c>
      <c r="D326" s="20" t="s">
        <v>480</v>
      </c>
      <c r="E326" s="12"/>
      <c r="F326" s="46" t="s">
        <v>474</v>
      </c>
      <c r="G326" s="101"/>
      <c r="H326" s="101"/>
      <c r="I326" s="101"/>
      <c r="J326" s="101"/>
      <c r="K326" s="101"/>
      <c r="L326" s="101"/>
      <c r="M326" s="101"/>
      <c r="N326" s="15"/>
      <c r="O326" s="15"/>
      <c r="P326" s="15"/>
      <c r="Q326" s="15"/>
      <c r="R326" s="15"/>
      <c r="S326" s="15"/>
      <c r="T326" s="15"/>
      <c r="U326" s="15"/>
      <c r="V326" s="15"/>
      <c r="W326" s="15">
        <v>1</v>
      </c>
      <c r="X326" s="15">
        <v>9</v>
      </c>
      <c r="Y326" s="15">
        <v>22</v>
      </c>
      <c r="Z326" s="34">
        <v>28</v>
      </c>
      <c r="AA326" s="17">
        <f t="shared" si="181"/>
        <v>0.27272727272727271</v>
      </c>
      <c r="AB326" s="17" t="str">
        <f t="shared" si="200"/>
        <v/>
      </c>
      <c r="AC326" s="17" t="str">
        <f t="shared" si="183"/>
        <v/>
      </c>
    </row>
    <row r="327" spans="1:29" outlineLevel="6" x14ac:dyDescent="0.2">
      <c r="A327" s="35" t="s">
        <v>388</v>
      </c>
      <c r="B327" s="36" t="s">
        <v>485</v>
      </c>
      <c r="C327" s="37" t="s">
        <v>485</v>
      </c>
      <c r="D327" s="20" t="s">
        <v>397</v>
      </c>
      <c r="E327" s="12">
        <v>479</v>
      </c>
      <c r="F327" s="46"/>
      <c r="G327" s="101"/>
      <c r="H327" s="101"/>
      <c r="I327" s="101"/>
      <c r="J327" s="101"/>
      <c r="K327" s="101"/>
      <c r="L327" s="101"/>
      <c r="M327" s="101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34"/>
      <c r="AA327" s="17" t="str">
        <f t="shared" si="181"/>
        <v/>
      </c>
      <c r="AB327" s="17" t="str">
        <f t="shared" si="200"/>
        <v/>
      </c>
      <c r="AC327" s="17" t="str">
        <f t="shared" si="183"/>
        <v/>
      </c>
    </row>
    <row r="328" spans="1:29" s="44" customFormat="1" outlineLevel="4" x14ac:dyDescent="0.2">
      <c r="A328" s="38"/>
      <c r="B328" s="39" t="s">
        <v>489</v>
      </c>
      <c r="C328" s="40"/>
      <c r="D328" s="24"/>
      <c r="E328" s="25"/>
      <c r="F328" s="76"/>
      <c r="G328" s="102">
        <f t="shared" ref="G328:M328" si="220">SUBTOTAL(9,G314:G327)</f>
        <v>92</v>
      </c>
      <c r="H328" s="102">
        <f t="shared" si="220"/>
        <v>76</v>
      </c>
      <c r="I328" s="102">
        <f t="shared" si="220"/>
        <v>63</v>
      </c>
      <c r="J328" s="102">
        <f t="shared" si="220"/>
        <v>70</v>
      </c>
      <c r="K328" s="102">
        <f t="shared" si="220"/>
        <v>88</v>
      </c>
      <c r="L328" s="102">
        <f t="shared" si="220"/>
        <v>116</v>
      </c>
      <c r="M328" s="102">
        <f t="shared" si="220"/>
        <v>125</v>
      </c>
      <c r="N328" s="28">
        <f t="shared" ref="N328:U328" si="221">SUBTOTAL(9,N314:N327)</f>
        <v>151</v>
      </c>
      <c r="O328" s="28">
        <f t="shared" si="221"/>
        <v>190</v>
      </c>
      <c r="P328" s="28">
        <f t="shared" si="221"/>
        <v>214</v>
      </c>
      <c r="Q328" s="28">
        <f t="shared" si="221"/>
        <v>287</v>
      </c>
      <c r="R328" s="28">
        <f t="shared" si="221"/>
        <v>282</v>
      </c>
      <c r="S328" s="28">
        <f t="shared" si="221"/>
        <v>262</v>
      </c>
      <c r="T328" s="28">
        <f t="shared" si="221"/>
        <v>237</v>
      </c>
      <c r="U328" s="28">
        <f t="shared" si="221"/>
        <v>248</v>
      </c>
      <c r="V328" s="28">
        <f>SUBTOTAL(9,V314:V327)</f>
        <v>262</v>
      </c>
      <c r="W328" s="28">
        <f>SUBTOTAL(9,W314:W327)</f>
        <v>276</v>
      </c>
      <c r="X328" s="28">
        <f>SUBTOTAL(9,X314:X327)</f>
        <v>271</v>
      </c>
      <c r="Y328" s="28">
        <f>SUBTOTAL(9,Y314:Y327)</f>
        <v>287</v>
      </c>
      <c r="Z328" s="43">
        <f>SUBTOTAL(9,Z314:Z327)</f>
        <v>286</v>
      </c>
      <c r="AA328" s="17">
        <f t="shared" si="181"/>
        <v>-3.4843205574912892E-3</v>
      </c>
      <c r="AB328" s="17">
        <f t="shared" si="200"/>
        <v>0.15322580645161291</v>
      </c>
      <c r="AC328" s="17">
        <f t="shared" si="183"/>
        <v>0.3364485981308411</v>
      </c>
    </row>
    <row r="329" spans="1:29" outlineLevel="6" x14ac:dyDescent="0.2">
      <c r="A329" s="35" t="s">
        <v>388</v>
      </c>
      <c r="B329" s="36" t="s">
        <v>493</v>
      </c>
      <c r="C329" s="37" t="s">
        <v>388</v>
      </c>
      <c r="D329" s="20" t="s">
        <v>400</v>
      </c>
      <c r="E329" s="12">
        <v>12</v>
      </c>
      <c r="F329" s="33">
        <v>6005</v>
      </c>
      <c r="G329" s="101">
        <v>138</v>
      </c>
      <c r="H329" s="101">
        <v>110</v>
      </c>
      <c r="I329" s="101">
        <v>99</v>
      </c>
      <c r="J329" s="101">
        <v>127</v>
      </c>
      <c r="K329" s="101">
        <v>115</v>
      </c>
      <c r="L329" s="101">
        <v>127</v>
      </c>
      <c r="M329" s="101">
        <v>126</v>
      </c>
      <c r="N329" s="15">
        <v>127</v>
      </c>
      <c r="O329" s="15">
        <v>118</v>
      </c>
      <c r="P329" s="15">
        <v>127</v>
      </c>
      <c r="Q329" s="15">
        <v>158</v>
      </c>
      <c r="R329" s="15">
        <v>178</v>
      </c>
      <c r="S329" s="15">
        <v>225</v>
      </c>
      <c r="T329" s="15">
        <v>250</v>
      </c>
      <c r="U329" s="15">
        <v>332</v>
      </c>
      <c r="V329" s="15">
        <f>226-6</f>
        <v>220</v>
      </c>
      <c r="W329" s="15">
        <f>129-3</f>
        <v>126</v>
      </c>
      <c r="X329" s="15">
        <v>89</v>
      </c>
      <c r="Y329" s="15">
        <v>84</v>
      </c>
      <c r="Z329" s="34">
        <v>86</v>
      </c>
      <c r="AA329" s="17">
        <f t="shared" si="181"/>
        <v>2.3809523809523808E-2</v>
      </c>
      <c r="AB329" s="17">
        <f t="shared" si="200"/>
        <v>-0.74096385542168675</v>
      </c>
      <c r="AC329" s="17">
        <f t="shared" si="183"/>
        <v>-0.32283464566929132</v>
      </c>
    </row>
    <row r="330" spans="1:29" outlineLevel="6" x14ac:dyDescent="0.2">
      <c r="A330" s="35" t="s">
        <v>388</v>
      </c>
      <c r="B330" s="36" t="s">
        <v>493</v>
      </c>
      <c r="C330" s="37" t="s">
        <v>388</v>
      </c>
      <c r="D330" s="20" t="s">
        <v>401</v>
      </c>
      <c r="E330" s="12">
        <v>471</v>
      </c>
      <c r="F330" s="33">
        <v>6020</v>
      </c>
      <c r="G330" s="101">
        <v>117</v>
      </c>
      <c r="H330" s="101">
        <v>81</v>
      </c>
      <c r="I330" s="101">
        <v>39</v>
      </c>
      <c r="J330" s="101">
        <v>45</v>
      </c>
      <c r="K330" s="101">
        <v>41</v>
      </c>
      <c r="L330" s="101">
        <v>45</v>
      </c>
      <c r="M330" s="101">
        <v>85</v>
      </c>
      <c r="N330" s="15">
        <v>192</v>
      </c>
      <c r="O330" s="15">
        <v>567</v>
      </c>
      <c r="P330" s="15">
        <v>615</v>
      </c>
      <c r="Q330" s="15">
        <v>784</v>
      </c>
      <c r="R330" s="15">
        <v>993</v>
      </c>
      <c r="S330" s="15">
        <v>1070</v>
      </c>
      <c r="T330" s="15">
        <v>1225</v>
      </c>
      <c r="U330" s="15">
        <v>1208</v>
      </c>
      <c r="V330" s="15">
        <f>1482-20</f>
        <v>1462</v>
      </c>
      <c r="W330" s="15">
        <f>1582-29</f>
        <v>1553</v>
      </c>
      <c r="X330" s="15">
        <v>1505</v>
      </c>
      <c r="Y330" s="15">
        <v>1428</v>
      </c>
      <c r="Z330" s="34">
        <v>1348</v>
      </c>
      <c r="AA330" s="17">
        <f t="shared" ref="AA330:AA377" si="222">IF(Y330&gt;0, (Z330-Y330)/Y330, "")</f>
        <v>-5.6022408963585436E-2</v>
      </c>
      <c r="AB330" s="17">
        <f t="shared" si="200"/>
        <v>0.11589403973509933</v>
      </c>
      <c r="AC330" s="17">
        <f t="shared" ref="AC330:AC377" si="223">IF(P330&gt;0, (Z330-P330)/P330, "")</f>
        <v>1.191869918699187</v>
      </c>
    </row>
    <row r="331" spans="1:29" outlineLevel="6" x14ac:dyDescent="0.2">
      <c r="A331" s="35" t="s">
        <v>388</v>
      </c>
      <c r="B331" s="36" t="s">
        <v>493</v>
      </c>
      <c r="C331" s="37" t="s">
        <v>388</v>
      </c>
      <c r="D331" s="20" t="s">
        <v>402</v>
      </c>
      <c r="E331" s="12"/>
      <c r="F331" s="33">
        <v>6070</v>
      </c>
      <c r="G331" s="101"/>
      <c r="H331" s="101"/>
      <c r="I331" s="101"/>
      <c r="J331" s="101"/>
      <c r="K331" s="101"/>
      <c r="L331" s="101"/>
      <c r="M331" s="101"/>
      <c r="N331" s="15"/>
      <c r="O331" s="15">
        <v>1</v>
      </c>
      <c r="P331" s="15">
        <v>20</v>
      </c>
      <c r="Q331" s="15">
        <v>20</v>
      </c>
      <c r="R331" s="15">
        <v>13</v>
      </c>
      <c r="S331" s="15">
        <v>8</v>
      </c>
      <c r="T331" s="15">
        <v>10</v>
      </c>
      <c r="U331" s="15">
        <v>6</v>
      </c>
      <c r="V331" s="15">
        <v>9</v>
      </c>
      <c r="W331" s="15">
        <f>11-1</f>
        <v>10</v>
      </c>
      <c r="X331" s="15">
        <v>14</v>
      </c>
      <c r="Y331" s="15">
        <v>14</v>
      </c>
      <c r="Z331" s="34">
        <v>12</v>
      </c>
      <c r="AA331" s="17">
        <f t="shared" si="222"/>
        <v>-0.14285714285714285</v>
      </c>
      <c r="AB331" s="17">
        <f t="shared" si="200"/>
        <v>1</v>
      </c>
      <c r="AC331" s="17">
        <f t="shared" si="223"/>
        <v>-0.4</v>
      </c>
    </row>
    <row r="332" spans="1:29" outlineLevel="6" x14ac:dyDescent="0.2">
      <c r="A332" s="35" t="s">
        <v>388</v>
      </c>
      <c r="B332" s="36" t="s">
        <v>493</v>
      </c>
      <c r="C332" s="37" t="s">
        <v>388</v>
      </c>
      <c r="D332" s="20" t="s">
        <v>403</v>
      </c>
      <c r="E332" s="12"/>
      <c r="F332" s="33">
        <v>6080</v>
      </c>
      <c r="G332" s="101"/>
      <c r="H332" s="101"/>
      <c r="I332" s="101"/>
      <c r="J332" s="101"/>
      <c r="K332" s="101"/>
      <c r="L332" s="101"/>
      <c r="M332" s="101"/>
      <c r="N332" s="15"/>
      <c r="O332" s="15"/>
      <c r="P332" s="15">
        <v>3</v>
      </c>
      <c r="Q332" s="15">
        <v>18</v>
      </c>
      <c r="R332" s="15">
        <v>25</v>
      </c>
      <c r="S332" s="15">
        <v>21</v>
      </c>
      <c r="T332" s="15">
        <v>22</v>
      </c>
      <c r="U332" s="15">
        <v>18</v>
      </c>
      <c r="V332" s="15">
        <v>8</v>
      </c>
      <c r="W332" s="15">
        <v>13</v>
      </c>
      <c r="X332" s="15">
        <v>8</v>
      </c>
      <c r="Y332" s="15">
        <v>4</v>
      </c>
      <c r="Z332" s="34">
        <v>5</v>
      </c>
      <c r="AA332" s="17">
        <f t="shared" si="222"/>
        <v>0.25</v>
      </c>
      <c r="AB332" s="17">
        <f t="shared" si="200"/>
        <v>-0.72222222222222221</v>
      </c>
      <c r="AC332" s="17">
        <f t="shared" si="223"/>
        <v>0.66666666666666663</v>
      </c>
    </row>
    <row r="333" spans="1:29" s="44" customFormat="1" outlineLevel="4" x14ac:dyDescent="0.2">
      <c r="A333" s="38"/>
      <c r="B333" s="39" t="s">
        <v>494</v>
      </c>
      <c r="C333" s="40"/>
      <c r="D333" s="24"/>
      <c r="E333" s="25"/>
      <c r="F333" s="41"/>
      <c r="G333" s="102">
        <f t="shared" ref="G333:M333" si="224">SUBTOTAL(9,G329:G332)</f>
        <v>255</v>
      </c>
      <c r="H333" s="102">
        <f t="shared" si="224"/>
        <v>191</v>
      </c>
      <c r="I333" s="102">
        <f t="shared" si="224"/>
        <v>138</v>
      </c>
      <c r="J333" s="102">
        <f t="shared" si="224"/>
        <v>172</v>
      </c>
      <c r="K333" s="102">
        <f t="shared" si="224"/>
        <v>156</v>
      </c>
      <c r="L333" s="102">
        <f t="shared" si="224"/>
        <v>172</v>
      </c>
      <c r="M333" s="102">
        <f t="shared" si="224"/>
        <v>211</v>
      </c>
      <c r="N333" s="28">
        <f t="shared" ref="N333:X333" si="225">SUBTOTAL(9,N329:N332)</f>
        <v>319</v>
      </c>
      <c r="O333" s="28">
        <f t="shared" si="225"/>
        <v>686</v>
      </c>
      <c r="P333" s="28">
        <f t="shared" si="225"/>
        <v>765</v>
      </c>
      <c r="Q333" s="28">
        <f t="shared" si="225"/>
        <v>980</v>
      </c>
      <c r="R333" s="28">
        <f t="shared" si="225"/>
        <v>1209</v>
      </c>
      <c r="S333" s="28">
        <f t="shared" si="225"/>
        <v>1324</v>
      </c>
      <c r="T333" s="28">
        <f t="shared" si="225"/>
        <v>1507</v>
      </c>
      <c r="U333" s="28">
        <f t="shared" si="225"/>
        <v>1564</v>
      </c>
      <c r="V333" s="28">
        <f t="shared" si="225"/>
        <v>1699</v>
      </c>
      <c r="W333" s="28">
        <f t="shared" si="225"/>
        <v>1702</v>
      </c>
      <c r="X333" s="28">
        <f t="shared" si="225"/>
        <v>1616</v>
      </c>
      <c r="Y333" s="28">
        <f t="shared" ref="Y333:Z333" si="226">SUBTOTAL(9,Y329:Y332)</f>
        <v>1530</v>
      </c>
      <c r="Z333" s="43">
        <f t="shared" si="226"/>
        <v>1451</v>
      </c>
      <c r="AA333" s="17">
        <f t="shared" si="222"/>
        <v>-5.1633986928104572E-2</v>
      </c>
      <c r="AB333" s="17">
        <f t="shared" si="200"/>
        <v>-7.2250639386189253E-2</v>
      </c>
      <c r="AC333" s="17">
        <f t="shared" si="223"/>
        <v>0.89673202614379088</v>
      </c>
    </row>
    <row r="334" spans="1:29" outlineLevel="6" x14ac:dyDescent="0.2">
      <c r="A334" s="35" t="s">
        <v>388</v>
      </c>
      <c r="B334" s="36" t="s">
        <v>488</v>
      </c>
      <c r="C334" s="37" t="s">
        <v>398</v>
      </c>
      <c r="D334" s="20" t="s">
        <v>399</v>
      </c>
      <c r="E334" s="12"/>
      <c r="F334" s="33">
        <v>6240</v>
      </c>
      <c r="G334" s="101"/>
      <c r="H334" s="101"/>
      <c r="I334" s="101"/>
      <c r="J334" s="101"/>
      <c r="K334" s="101"/>
      <c r="L334" s="101"/>
      <c r="M334" s="101"/>
      <c r="N334" s="15"/>
      <c r="O334" s="15"/>
      <c r="P334" s="15">
        <v>3</v>
      </c>
      <c r="Q334" s="15"/>
      <c r="R334" s="15">
        <v>2</v>
      </c>
      <c r="S334" s="15">
        <v>0</v>
      </c>
      <c r="T334" s="15">
        <v>0</v>
      </c>
      <c r="U334" s="15">
        <v>0</v>
      </c>
      <c r="V334" s="15"/>
      <c r="W334" s="15"/>
      <c r="X334" s="15"/>
      <c r="Y334" s="15"/>
      <c r="Z334" s="34"/>
      <c r="AA334" s="17" t="str">
        <f>IF(Y334&gt;0, (Z334-Y334)/Y334, "")</f>
        <v/>
      </c>
      <c r="AB334" s="17" t="str">
        <f>IF(U334&gt;0, (Z334-U334)/U334, "")</f>
        <v/>
      </c>
      <c r="AC334" s="17">
        <f>IF(P334&gt;0, (Z334-P334)/P334, "")</f>
        <v>-1</v>
      </c>
    </row>
    <row r="335" spans="1:29" ht="12.75" customHeight="1" outlineLevel="6" x14ac:dyDescent="0.2">
      <c r="A335" s="35" t="s">
        <v>388</v>
      </c>
      <c r="B335" s="36" t="s">
        <v>488</v>
      </c>
      <c r="C335" s="37" t="s">
        <v>406</v>
      </c>
      <c r="D335" s="20" t="s">
        <v>407</v>
      </c>
      <c r="E335" s="12">
        <v>481</v>
      </c>
      <c r="F335" s="33">
        <v>6015</v>
      </c>
      <c r="G335" s="101">
        <v>228</v>
      </c>
      <c r="H335" s="101">
        <v>208</v>
      </c>
      <c r="I335" s="101">
        <v>154</v>
      </c>
      <c r="J335" s="101">
        <v>105</v>
      </c>
      <c r="K335" s="101">
        <v>134</v>
      </c>
      <c r="L335" s="101">
        <v>183</v>
      </c>
      <c r="M335" s="101">
        <v>223</v>
      </c>
      <c r="N335" s="15">
        <v>261</v>
      </c>
      <c r="O335" s="15">
        <v>3</v>
      </c>
      <c r="P335" s="15">
        <v>10</v>
      </c>
      <c r="Q335" s="15">
        <v>7</v>
      </c>
      <c r="R335" s="15">
        <v>4</v>
      </c>
      <c r="S335" s="15">
        <v>1</v>
      </c>
      <c r="T335" s="15">
        <v>0</v>
      </c>
      <c r="U335" s="15">
        <v>0</v>
      </c>
      <c r="V335" s="15">
        <v>1</v>
      </c>
      <c r="W335" s="15"/>
      <c r="X335" s="15"/>
      <c r="Y335" s="15"/>
      <c r="Z335" s="34"/>
      <c r="AA335" s="17" t="str">
        <f t="shared" si="222"/>
        <v/>
      </c>
      <c r="AB335" s="17" t="str">
        <f t="shared" si="200"/>
        <v/>
      </c>
      <c r="AC335" s="17">
        <f t="shared" si="223"/>
        <v>-1</v>
      </c>
    </row>
    <row r="336" spans="1:29" outlineLevel="6" x14ac:dyDescent="0.2">
      <c r="A336" s="35" t="s">
        <v>388</v>
      </c>
      <c r="B336" s="36" t="s">
        <v>488</v>
      </c>
      <c r="C336" s="37" t="s">
        <v>406</v>
      </c>
      <c r="D336" s="20" t="s">
        <v>408</v>
      </c>
      <c r="E336" s="12"/>
      <c r="F336" s="33">
        <v>6220</v>
      </c>
      <c r="G336" s="101">
        <v>1</v>
      </c>
      <c r="H336" s="101">
        <v>2</v>
      </c>
      <c r="I336" s="101">
        <v>73</v>
      </c>
      <c r="J336" s="101">
        <v>35</v>
      </c>
      <c r="K336" s="101"/>
      <c r="L336" s="101"/>
      <c r="M336" s="101"/>
      <c r="N336" s="15">
        <v>0</v>
      </c>
      <c r="O336" s="15">
        <v>0</v>
      </c>
      <c r="P336" s="15">
        <v>0</v>
      </c>
      <c r="Q336" s="15"/>
      <c r="R336" s="15"/>
      <c r="S336" s="15"/>
      <c r="T336" s="15"/>
      <c r="U336" s="15"/>
      <c r="V336" s="15"/>
      <c r="W336" s="15"/>
      <c r="X336" s="15"/>
      <c r="Y336" s="15"/>
      <c r="Z336" s="34"/>
      <c r="AA336" s="17" t="str">
        <f t="shared" si="222"/>
        <v/>
      </c>
      <c r="AB336" s="17" t="str">
        <f t="shared" si="200"/>
        <v/>
      </c>
      <c r="AC336" s="17" t="str">
        <f t="shared" si="223"/>
        <v/>
      </c>
    </row>
    <row r="337" spans="1:29" s="44" customFormat="1" outlineLevel="4" x14ac:dyDescent="0.2">
      <c r="A337" s="38"/>
      <c r="B337" s="39" t="s">
        <v>490</v>
      </c>
      <c r="C337" s="40"/>
      <c r="D337" s="24"/>
      <c r="E337" s="25"/>
      <c r="F337" s="41"/>
      <c r="G337" s="102">
        <f t="shared" ref="G337:O337" si="227">SUBTOTAL(9,G334:G336)</f>
        <v>229</v>
      </c>
      <c r="H337" s="102">
        <f t="shared" si="227"/>
        <v>210</v>
      </c>
      <c r="I337" s="102">
        <f t="shared" si="227"/>
        <v>227</v>
      </c>
      <c r="J337" s="102">
        <f t="shared" si="227"/>
        <v>140</v>
      </c>
      <c r="K337" s="102">
        <f t="shared" si="227"/>
        <v>134</v>
      </c>
      <c r="L337" s="102">
        <f t="shared" si="227"/>
        <v>183</v>
      </c>
      <c r="M337" s="102">
        <f t="shared" si="227"/>
        <v>223</v>
      </c>
      <c r="N337" s="28">
        <f t="shared" si="227"/>
        <v>261</v>
      </c>
      <c r="O337" s="28">
        <f t="shared" si="227"/>
        <v>3</v>
      </c>
      <c r="P337" s="28">
        <f>SUBTOTAL(9,P334:P336)</f>
        <v>13</v>
      </c>
      <c r="Q337" s="28">
        <f t="shared" ref="Q337:Z337" si="228">SUBTOTAL(9,Q334:Q336)</f>
        <v>7</v>
      </c>
      <c r="R337" s="28">
        <f t="shared" si="228"/>
        <v>6</v>
      </c>
      <c r="S337" s="28">
        <f t="shared" si="228"/>
        <v>1</v>
      </c>
      <c r="T337" s="28">
        <f t="shared" si="228"/>
        <v>0</v>
      </c>
      <c r="U337" s="28">
        <f t="shared" si="228"/>
        <v>0</v>
      </c>
      <c r="V337" s="28">
        <f t="shared" si="228"/>
        <v>1</v>
      </c>
      <c r="W337" s="28">
        <f t="shared" si="228"/>
        <v>0</v>
      </c>
      <c r="X337" s="28">
        <f t="shared" si="228"/>
        <v>0</v>
      </c>
      <c r="Y337" s="28">
        <f t="shared" si="228"/>
        <v>0</v>
      </c>
      <c r="Z337" s="43">
        <f t="shared" si="228"/>
        <v>0</v>
      </c>
      <c r="AA337" s="17" t="str">
        <f t="shared" si="222"/>
        <v/>
      </c>
      <c r="AB337" s="17" t="str">
        <f t="shared" si="200"/>
        <v/>
      </c>
      <c r="AC337" s="17">
        <f t="shared" si="223"/>
        <v>-1</v>
      </c>
    </row>
    <row r="338" spans="1:29" outlineLevel="6" x14ac:dyDescent="0.2">
      <c r="A338" s="35" t="s">
        <v>388</v>
      </c>
      <c r="B338" s="36" t="s">
        <v>487</v>
      </c>
      <c r="C338" s="37" t="s">
        <v>486</v>
      </c>
      <c r="D338" s="20" t="s">
        <v>405</v>
      </c>
      <c r="E338" s="12">
        <v>472</v>
      </c>
      <c r="F338" s="33">
        <v>6040</v>
      </c>
      <c r="G338" s="101">
        <v>33</v>
      </c>
      <c r="H338" s="101">
        <v>34</v>
      </c>
      <c r="I338" s="101">
        <v>32</v>
      </c>
      <c r="J338" s="101">
        <v>35</v>
      </c>
      <c r="K338" s="101">
        <v>31</v>
      </c>
      <c r="L338" s="101">
        <v>26</v>
      </c>
      <c r="M338" s="101">
        <v>17</v>
      </c>
      <c r="N338" s="15">
        <v>9</v>
      </c>
      <c r="O338" s="15">
        <v>5</v>
      </c>
      <c r="P338" s="15">
        <v>1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/>
      <c r="W338" s="15"/>
      <c r="X338" s="15"/>
      <c r="Y338" s="15"/>
      <c r="Z338" s="34"/>
      <c r="AA338" s="17" t="str">
        <f>IF(Y338&gt;0, (Z338-Y338)/Y338, "")</f>
        <v/>
      </c>
      <c r="AB338" s="17" t="str">
        <f>IF(U338&gt;0, (Z338-U338)/U338, "")</f>
        <v/>
      </c>
      <c r="AC338" s="17">
        <f>IF(P338&gt;0, (Z338-P338)/P338, "")</f>
        <v>-1</v>
      </c>
    </row>
    <row r="339" spans="1:29" outlineLevel="6" x14ac:dyDescent="0.2">
      <c r="A339" s="35" t="s">
        <v>388</v>
      </c>
      <c r="B339" s="36" t="s">
        <v>487</v>
      </c>
      <c r="C339" s="37" t="s">
        <v>486</v>
      </c>
      <c r="D339" s="20" t="s">
        <v>453</v>
      </c>
      <c r="E339" s="12"/>
      <c r="F339" s="46" t="s">
        <v>454</v>
      </c>
      <c r="G339" s="101"/>
      <c r="H339" s="101"/>
      <c r="I339" s="101"/>
      <c r="J339" s="101"/>
      <c r="K339" s="101"/>
      <c r="L339" s="101">
        <v>4</v>
      </c>
      <c r="M339" s="101">
        <v>19</v>
      </c>
      <c r="N339" s="15">
        <v>31</v>
      </c>
      <c r="O339" s="15">
        <v>41</v>
      </c>
      <c r="P339" s="15">
        <v>60</v>
      </c>
      <c r="Q339" s="15">
        <v>68</v>
      </c>
      <c r="R339" s="15">
        <v>77</v>
      </c>
      <c r="S339" s="15">
        <v>86</v>
      </c>
      <c r="T339" s="15">
        <v>79</v>
      </c>
      <c r="U339" s="15">
        <v>106</v>
      </c>
      <c r="V339" s="15">
        <f>114-4</f>
        <v>110</v>
      </c>
      <c r="W339" s="15">
        <f>100-2</f>
        <v>98</v>
      </c>
      <c r="X339" s="15">
        <v>90</v>
      </c>
      <c r="Y339" s="15">
        <f>37+46</f>
        <v>83</v>
      </c>
      <c r="Z339" s="34">
        <v>85</v>
      </c>
      <c r="AA339" s="17">
        <f>IF(Y339&gt;0, (Z339-Y339)/Y339, "")</f>
        <v>2.4096385542168676E-2</v>
      </c>
      <c r="AB339" s="17">
        <f>IF(U339&gt;0, (Z339-U339)/U339, "")</f>
        <v>-0.19811320754716982</v>
      </c>
      <c r="AC339" s="17">
        <f>IF(P339&gt;0, (Z339-P339)/P339, "")</f>
        <v>0.41666666666666669</v>
      </c>
    </row>
    <row r="340" spans="1:29" s="44" customFormat="1" outlineLevel="4" x14ac:dyDescent="0.2">
      <c r="A340" s="38"/>
      <c r="B340" s="39"/>
      <c r="C340" s="40" t="s">
        <v>491</v>
      </c>
      <c r="D340" s="24"/>
      <c r="E340" s="25"/>
      <c r="F340" s="41"/>
      <c r="G340" s="102">
        <f t="shared" ref="G340" si="229">SUBTOTAL(9,G338:G339)</f>
        <v>33</v>
      </c>
      <c r="H340" s="102">
        <f t="shared" ref="H340" si="230">SUBTOTAL(9,H338:H339)</f>
        <v>34</v>
      </c>
      <c r="I340" s="102">
        <f t="shared" ref="I340" si="231">SUBTOTAL(9,I338:I339)</f>
        <v>32</v>
      </c>
      <c r="J340" s="102">
        <f t="shared" ref="J340" si="232">SUBTOTAL(9,J338:J339)</f>
        <v>35</v>
      </c>
      <c r="K340" s="102">
        <f t="shared" ref="K340" si="233">SUBTOTAL(9,K338:K339)</f>
        <v>31</v>
      </c>
      <c r="L340" s="102">
        <f t="shared" ref="L340" si="234">SUBTOTAL(9,L338:L339)</f>
        <v>30</v>
      </c>
      <c r="M340" s="102">
        <f t="shared" ref="M340" si="235">SUBTOTAL(9,M338:M339)</f>
        <v>36</v>
      </c>
      <c r="N340" s="28">
        <f t="shared" ref="N340:X340" si="236">SUBTOTAL(9,N338:N339)</f>
        <v>40</v>
      </c>
      <c r="O340" s="28">
        <f t="shared" si="236"/>
        <v>46</v>
      </c>
      <c r="P340" s="28">
        <f t="shared" si="236"/>
        <v>61</v>
      </c>
      <c r="Q340" s="28">
        <f t="shared" si="236"/>
        <v>68</v>
      </c>
      <c r="R340" s="28">
        <f t="shared" si="236"/>
        <v>77</v>
      </c>
      <c r="S340" s="28">
        <f t="shared" si="236"/>
        <v>86</v>
      </c>
      <c r="T340" s="28">
        <f t="shared" si="236"/>
        <v>79</v>
      </c>
      <c r="U340" s="28">
        <f t="shared" si="236"/>
        <v>106</v>
      </c>
      <c r="V340" s="28">
        <f t="shared" si="236"/>
        <v>110</v>
      </c>
      <c r="W340" s="28">
        <f t="shared" si="236"/>
        <v>98</v>
      </c>
      <c r="X340" s="28">
        <f t="shared" si="236"/>
        <v>90</v>
      </c>
      <c r="Y340" s="28">
        <f>SUBTOTAL(9,Y338:Y339)</f>
        <v>83</v>
      </c>
      <c r="Z340" s="43">
        <f>SUBTOTAL(9,Z338:Z339)</f>
        <v>85</v>
      </c>
      <c r="AA340" s="17">
        <f>IF(Y340&gt;0, (Z340-Y340)/Y340, "")</f>
        <v>2.4096385542168676E-2</v>
      </c>
      <c r="AB340" s="17">
        <f>IF(U340&gt;0, (Z340-U340)/U340, "")</f>
        <v>-0.19811320754716982</v>
      </c>
      <c r="AC340" s="17">
        <f>IF(P340&gt;0, (Z340-P340)/P340, "")</f>
        <v>0.39344262295081966</v>
      </c>
    </row>
    <row r="341" spans="1:29" outlineLevel="6" x14ac:dyDescent="0.2">
      <c r="A341" s="35" t="s">
        <v>388</v>
      </c>
      <c r="B341" s="36" t="s">
        <v>487</v>
      </c>
      <c r="C341" s="37" t="s">
        <v>409</v>
      </c>
      <c r="D341" s="20" t="s">
        <v>410</v>
      </c>
      <c r="E341" s="12"/>
      <c r="F341" s="46" t="s">
        <v>470</v>
      </c>
      <c r="G341" s="101"/>
      <c r="H341" s="101"/>
      <c r="I341" s="101"/>
      <c r="J341" s="101"/>
      <c r="K341" s="101"/>
      <c r="L341" s="101"/>
      <c r="M341" s="101"/>
      <c r="N341" s="15"/>
      <c r="O341" s="15">
        <v>20</v>
      </c>
      <c r="P341" s="15">
        <v>57</v>
      </c>
      <c r="Q341" s="15">
        <v>78</v>
      </c>
      <c r="R341" s="15">
        <v>89</v>
      </c>
      <c r="S341" s="15">
        <v>92</v>
      </c>
      <c r="T341" s="15">
        <v>123</v>
      </c>
      <c r="U341" s="15">
        <v>124</v>
      </c>
      <c r="V341" s="15">
        <f>98-2</f>
        <v>96</v>
      </c>
      <c r="W341" s="15">
        <f>71-1</f>
        <v>70</v>
      </c>
      <c r="X341" s="15">
        <v>56</v>
      </c>
      <c r="Y341" s="15">
        <v>49</v>
      </c>
      <c r="Z341" s="34">
        <v>28</v>
      </c>
      <c r="AA341" s="17">
        <f t="shared" si="222"/>
        <v>-0.42857142857142855</v>
      </c>
      <c r="AB341" s="17">
        <f t="shared" si="200"/>
        <v>-0.77419354838709675</v>
      </c>
      <c r="AC341" s="17">
        <f t="shared" si="223"/>
        <v>-0.50877192982456143</v>
      </c>
    </row>
    <row r="342" spans="1:29" outlineLevel="6" x14ac:dyDescent="0.2">
      <c r="A342" s="35" t="s">
        <v>388</v>
      </c>
      <c r="B342" s="36" t="s">
        <v>487</v>
      </c>
      <c r="C342" s="37" t="s">
        <v>409</v>
      </c>
      <c r="D342" s="20" t="s">
        <v>411</v>
      </c>
      <c r="E342" s="12"/>
      <c r="F342" s="33">
        <v>6050</v>
      </c>
      <c r="G342" s="101"/>
      <c r="H342" s="101"/>
      <c r="I342" s="101"/>
      <c r="J342" s="101"/>
      <c r="K342" s="101">
        <v>30</v>
      </c>
      <c r="L342" s="101">
        <v>48</v>
      </c>
      <c r="M342" s="101">
        <v>75</v>
      </c>
      <c r="N342" s="15">
        <v>92</v>
      </c>
      <c r="O342" s="15">
        <v>80</v>
      </c>
      <c r="P342" s="15">
        <v>52</v>
      </c>
      <c r="Q342" s="15">
        <v>41</v>
      </c>
      <c r="R342" s="15">
        <v>27</v>
      </c>
      <c r="S342" s="15">
        <v>35</v>
      </c>
      <c r="T342" s="15">
        <v>33</v>
      </c>
      <c r="U342" s="15">
        <v>29</v>
      </c>
      <c r="V342" s="15">
        <f>12-1</f>
        <v>11</v>
      </c>
      <c r="W342" s="15">
        <v>28</v>
      </c>
      <c r="X342" s="15">
        <v>17</v>
      </c>
      <c r="Y342" s="15">
        <v>20</v>
      </c>
      <c r="Z342" s="34">
        <v>15</v>
      </c>
      <c r="AA342" s="17">
        <f t="shared" si="222"/>
        <v>-0.25</v>
      </c>
      <c r="AB342" s="17">
        <f t="shared" si="200"/>
        <v>-0.48275862068965519</v>
      </c>
      <c r="AC342" s="17">
        <f t="shared" si="223"/>
        <v>-0.71153846153846156</v>
      </c>
    </row>
    <row r="343" spans="1:29" outlineLevel="6" x14ac:dyDescent="0.2">
      <c r="A343" s="35" t="s">
        <v>388</v>
      </c>
      <c r="B343" s="36" t="s">
        <v>487</v>
      </c>
      <c r="C343" s="37" t="s">
        <v>409</v>
      </c>
      <c r="D343" s="20" t="s">
        <v>503</v>
      </c>
      <c r="E343" s="12"/>
      <c r="F343" s="33">
        <v>6052</v>
      </c>
      <c r="G343" s="101"/>
      <c r="H343" s="101"/>
      <c r="I343" s="101"/>
      <c r="J343" s="101"/>
      <c r="K343" s="101"/>
      <c r="L343" s="101"/>
      <c r="M343" s="101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34">
        <v>9</v>
      </c>
      <c r="AA343" s="17"/>
      <c r="AB343" s="17"/>
      <c r="AC343" s="17"/>
    </row>
    <row r="344" spans="1:29" s="44" customFormat="1" outlineLevel="4" x14ac:dyDescent="0.2">
      <c r="A344" s="38"/>
      <c r="B344" s="39"/>
      <c r="C344" s="40" t="s">
        <v>412</v>
      </c>
      <c r="D344" s="24"/>
      <c r="E344" s="25"/>
      <c r="F344" s="41"/>
      <c r="G344" s="102">
        <f t="shared" ref="G344:W344" si="237">SUBTOTAL(9,G341:G342)</f>
        <v>0</v>
      </c>
      <c r="H344" s="102">
        <f t="shared" si="237"/>
        <v>0</v>
      </c>
      <c r="I344" s="102">
        <f t="shared" si="237"/>
        <v>0</v>
      </c>
      <c r="J344" s="102">
        <f t="shared" si="237"/>
        <v>0</v>
      </c>
      <c r="K344" s="102">
        <f t="shared" si="237"/>
        <v>30</v>
      </c>
      <c r="L344" s="102">
        <f t="shared" si="237"/>
        <v>48</v>
      </c>
      <c r="M344" s="102">
        <f t="shared" si="237"/>
        <v>75</v>
      </c>
      <c r="N344" s="28">
        <f t="shared" si="237"/>
        <v>92</v>
      </c>
      <c r="O344" s="28">
        <f t="shared" si="237"/>
        <v>100</v>
      </c>
      <c r="P344" s="28">
        <f t="shared" si="237"/>
        <v>109</v>
      </c>
      <c r="Q344" s="28">
        <f t="shared" si="237"/>
        <v>119</v>
      </c>
      <c r="R344" s="28">
        <f t="shared" si="237"/>
        <v>116</v>
      </c>
      <c r="S344" s="28">
        <f t="shared" si="237"/>
        <v>127</v>
      </c>
      <c r="T344" s="28">
        <f t="shared" si="237"/>
        <v>156</v>
      </c>
      <c r="U344" s="28">
        <f t="shared" si="237"/>
        <v>153</v>
      </c>
      <c r="V344" s="28">
        <f t="shared" si="237"/>
        <v>107</v>
      </c>
      <c r="W344" s="28">
        <f t="shared" si="237"/>
        <v>98</v>
      </c>
      <c r="X344" s="28">
        <f>SUBTOTAL(9,X341:X342)</f>
        <v>73</v>
      </c>
      <c r="Y344" s="28">
        <f>SUBTOTAL(9,Y341:Y342)</f>
        <v>69</v>
      </c>
      <c r="Z344" s="43">
        <f>SUBTOTAL(9,Z341:Z342)</f>
        <v>43</v>
      </c>
      <c r="AA344" s="17">
        <f t="shared" si="222"/>
        <v>-0.37681159420289856</v>
      </c>
      <c r="AB344" s="17">
        <f t="shared" si="200"/>
        <v>-0.71895424836601307</v>
      </c>
      <c r="AC344" s="17">
        <f t="shared" si="223"/>
        <v>-0.60550458715596334</v>
      </c>
    </row>
    <row r="345" spans="1:29" s="44" customFormat="1" outlineLevel="4" x14ac:dyDescent="0.2">
      <c r="A345" s="38"/>
      <c r="B345" s="39" t="s">
        <v>492</v>
      </c>
      <c r="C345" s="40"/>
      <c r="D345" s="24"/>
      <c r="E345" s="25"/>
      <c r="F345" s="41"/>
      <c r="G345" s="102"/>
      <c r="H345" s="102"/>
      <c r="I345" s="102"/>
      <c r="J345" s="102"/>
      <c r="K345" s="102"/>
      <c r="L345" s="102"/>
      <c r="M345" s="102"/>
      <c r="N345" s="28"/>
      <c r="O345" s="28"/>
      <c r="P345" s="28">
        <f>SUBTOTAL(9,P338:P342)</f>
        <v>170</v>
      </c>
      <c r="Q345" s="28">
        <f t="shared" ref="Q345:Y345" si="238">SUBTOTAL(9,Q338:Q342)</f>
        <v>187</v>
      </c>
      <c r="R345" s="28">
        <f t="shared" si="238"/>
        <v>193</v>
      </c>
      <c r="S345" s="28">
        <f t="shared" si="238"/>
        <v>213</v>
      </c>
      <c r="T345" s="28">
        <f t="shared" si="238"/>
        <v>235</v>
      </c>
      <c r="U345" s="28">
        <f t="shared" si="238"/>
        <v>259</v>
      </c>
      <c r="V345" s="28">
        <f t="shared" si="238"/>
        <v>217</v>
      </c>
      <c r="W345" s="28">
        <f t="shared" si="238"/>
        <v>196</v>
      </c>
      <c r="X345" s="28">
        <f t="shared" si="238"/>
        <v>163</v>
      </c>
      <c r="Y345" s="28">
        <f t="shared" si="238"/>
        <v>152</v>
      </c>
      <c r="Z345" s="43">
        <f t="shared" ref="Z345" si="239">SUBTOTAL(9,Z338:Z342)</f>
        <v>128</v>
      </c>
      <c r="AA345" s="17"/>
      <c r="AB345" s="17"/>
      <c r="AC345" s="17"/>
    </row>
    <row r="346" spans="1:29" outlineLevel="4" x14ac:dyDescent="0.2">
      <c r="A346" s="35" t="s">
        <v>388</v>
      </c>
      <c r="B346" s="36"/>
      <c r="C346" s="37"/>
      <c r="D346" s="20" t="s">
        <v>413</v>
      </c>
      <c r="E346" s="12">
        <v>499</v>
      </c>
      <c r="F346" s="33"/>
      <c r="G346" s="101"/>
      <c r="H346" s="101"/>
      <c r="I346" s="101"/>
      <c r="J346" s="101"/>
      <c r="K346" s="101"/>
      <c r="L346" s="101"/>
      <c r="M346" s="101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34"/>
      <c r="AA346" s="17" t="str">
        <f t="shared" si="222"/>
        <v/>
      </c>
      <c r="AB346" s="17" t="str">
        <f t="shared" si="200"/>
        <v/>
      </c>
      <c r="AC346" s="17" t="str">
        <f t="shared" si="223"/>
        <v/>
      </c>
    </row>
    <row r="347" spans="1:29" s="47" customFormat="1" outlineLevel="6" x14ac:dyDescent="0.2">
      <c r="A347" s="35" t="s">
        <v>388</v>
      </c>
      <c r="B347" s="36" t="s">
        <v>275</v>
      </c>
      <c r="C347" s="37"/>
      <c r="D347" s="20" t="s">
        <v>282</v>
      </c>
      <c r="E347" s="12"/>
      <c r="F347" s="46" t="s">
        <v>283</v>
      </c>
      <c r="G347" s="101"/>
      <c r="H347" s="101"/>
      <c r="I347" s="101"/>
      <c r="J347" s="101"/>
      <c r="K347" s="101"/>
      <c r="L347" s="101"/>
      <c r="M347" s="101"/>
      <c r="N347" s="15"/>
      <c r="O347" s="15"/>
      <c r="P347" s="15"/>
      <c r="Q347" s="15"/>
      <c r="R347" s="15"/>
      <c r="S347" s="15">
        <v>1</v>
      </c>
      <c r="T347" s="15">
        <v>0</v>
      </c>
      <c r="U347" s="15">
        <v>1</v>
      </c>
      <c r="V347" s="15">
        <v>1</v>
      </c>
      <c r="W347" s="15"/>
      <c r="X347" s="15"/>
      <c r="Y347" s="15"/>
      <c r="Z347" s="34"/>
      <c r="AA347" s="17" t="str">
        <f t="shared" si="222"/>
        <v/>
      </c>
      <c r="AB347" s="17">
        <f t="shared" si="200"/>
        <v>-1</v>
      </c>
      <c r="AC347" s="17" t="str">
        <f t="shared" si="223"/>
        <v/>
      </c>
    </row>
    <row r="348" spans="1:29" s="47" customFormat="1" outlineLevel="4" x14ac:dyDescent="0.2">
      <c r="A348" s="35"/>
      <c r="B348" s="39" t="s">
        <v>290</v>
      </c>
      <c r="C348" s="37"/>
      <c r="D348" s="20"/>
      <c r="E348" s="77"/>
      <c r="F348" s="46"/>
      <c r="G348" s="101">
        <f t="shared" ref="G348:M348" si="240">SUBTOTAL(9,G347:G347)</f>
        <v>0</v>
      </c>
      <c r="H348" s="101">
        <f t="shared" si="240"/>
        <v>0</v>
      </c>
      <c r="I348" s="101">
        <f t="shared" si="240"/>
        <v>0</v>
      </c>
      <c r="J348" s="101">
        <f t="shared" si="240"/>
        <v>0</v>
      </c>
      <c r="K348" s="101">
        <f t="shared" si="240"/>
        <v>0</v>
      </c>
      <c r="L348" s="101">
        <f t="shared" si="240"/>
        <v>0</v>
      </c>
      <c r="M348" s="101">
        <f t="shared" si="240"/>
        <v>0</v>
      </c>
      <c r="N348" s="15">
        <f t="shared" ref="N348:W348" si="241">SUBTOTAL(9,N347:N347)</f>
        <v>0</v>
      </c>
      <c r="O348" s="15">
        <f t="shared" si="241"/>
        <v>0</v>
      </c>
      <c r="P348" s="15">
        <f t="shared" si="241"/>
        <v>0</v>
      </c>
      <c r="Q348" s="15">
        <f t="shared" si="241"/>
        <v>0</v>
      </c>
      <c r="R348" s="15">
        <f t="shared" si="241"/>
        <v>0</v>
      </c>
      <c r="S348" s="15">
        <f t="shared" si="241"/>
        <v>1</v>
      </c>
      <c r="T348" s="15">
        <f t="shared" si="241"/>
        <v>0</v>
      </c>
      <c r="U348" s="15">
        <f t="shared" si="241"/>
        <v>1</v>
      </c>
      <c r="V348" s="15">
        <f t="shared" si="241"/>
        <v>1</v>
      </c>
      <c r="W348" s="15">
        <f t="shared" si="241"/>
        <v>0</v>
      </c>
      <c r="X348" s="15">
        <f t="shared" ref="X348:Y348" si="242">SUBTOTAL(9,X347:X347)</f>
        <v>0</v>
      </c>
      <c r="Y348" s="15">
        <f t="shared" si="242"/>
        <v>0</v>
      </c>
      <c r="Z348" s="34"/>
      <c r="AA348" s="17" t="str">
        <f t="shared" si="222"/>
        <v/>
      </c>
      <c r="AB348" s="17">
        <f t="shared" si="200"/>
        <v>-1</v>
      </c>
      <c r="AC348" s="17" t="str">
        <f t="shared" si="223"/>
        <v/>
      </c>
    </row>
    <row r="349" spans="1:29" s="48" customFormat="1" outlineLevel="3" x14ac:dyDescent="0.2">
      <c r="A349" s="38" t="s">
        <v>404</v>
      </c>
      <c r="B349" s="39"/>
      <c r="C349" s="40"/>
      <c r="D349" s="24"/>
      <c r="E349" s="78"/>
      <c r="F349" s="76"/>
      <c r="G349" s="102">
        <f t="shared" ref="G349:Z349" si="243">SUBTOTAL(9,G314:G347)</f>
        <v>609</v>
      </c>
      <c r="H349" s="102">
        <f t="shared" si="243"/>
        <v>511</v>
      </c>
      <c r="I349" s="102">
        <f t="shared" si="243"/>
        <v>460</v>
      </c>
      <c r="J349" s="102">
        <f t="shared" si="243"/>
        <v>417</v>
      </c>
      <c r="K349" s="102">
        <f t="shared" si="243"/>
        <v>439</v>
      </c>
      <c r="L349" s="102">
        <f t="shared" si="243"/>
        <v>549</v>
      </c>
      <c r="M349" s="102">
        <f t="shared" si="243"/>
        <v>670</v>
      </c>
      <c r="N349" s="28">
        <f t="shared" si="243"/>
        <v>863</v>
      </c>
      <c r="O349" s="28">
        <f t="shared" si="243"/>
        <v>1025</v>
      </c>
      <c r="P349" s="28">
        <f t="shared" si="243"/>
        <v>1162</v>
      </c>
      <c r="Q349" s="28">
        <f t="shared" si="243"/>
        <v>1461</v>
      </c>
      <c r="R349" s="28">
        <f t="shared" si="243"/>
        <v>1690</v>
      </c>
      <c r="S349" s="28">
        <f t="shared" si="243"/>
        <v>1801</v>
      </c>
      <c r="T349" s="28">
        <f t="shared" si="243"/>
        <v>1979</v>
      </c>
      <c r="U349" s="28">
        <f t="shared" si="243"/>
        <v>2072</v>
      </c>
      <c r="V349" s="28">
        <f t="shared" si="243"/>
        <v>2180</v>
      </c>
      <c r="W349" s="28">
        <f t="shared" si="243"/>
        <v>2174</v>
      </c>
      <c r="X349" s="28">
        <f t="shared" si="243"/>
        <v>2050</v>
      </c>
      <c r="Y349" s="28">
        <f t="shared" si="243"/>
        <v>1969</v>
      </c>
      <c r="Z349" s="43">
        <f t="shared" si="243"/>
        <v>1874</v>
      </c>
      <c r="AA349" s="17">
        <f t="shared" si="222"/>
        <v>-4.8247841543930928E-2</v>
      </c>
      <c r="AB349" s="17">
        <f t="shared" si="200"/>
        <v>-9.5559845559845563E-2</v>
      </c>
      <c r="AC349" s="17">
        <f t="shared" si="223"/>
        <v>0.61273666092943202</v>
      </c>
    </row>
    <row r="350" spans="1:29" outlineLevel="6" x14ac:dyDescent="0.2">
      <c r="A350" s="35" t="s">
        <v>414</v>
      </c>
      <c r="B350" s="36" t="s">
        <v>414</v>
      </c>
      <c r="C350" s="37" t="s">
        <v>414</v>
      </c>
      <c r="D350" s="20" t="s">
        <v>415</v>
      </c>
      <c r="E350" s="77"/>
      <c r="F350" s="33">
        <v>7010</v>
      </c>
      <c r="G350" s="13"/>
      <c r="H350" s="13"/>
      <c r="I350" s="13"/>
      <c r="J350" s="13"/>
      <c r="K350" s="13"/>
      <c r="L350" s="13">
        <v>43</v>
      </c>
      <c r="M350" s="13">
        <v>26</v>
      </c>
      <c r="N350" s="14">
        <v>27</v>
      </c>
      <c r="O350" s="14">
        <v>20</v>
      </c>
      <c r="P350" s="14">
        <v>21</v>
      </c>
      <c r="Q350" s="14">
        <v>23</v>
      </c>
      <c r="R350" s="14">
        <v>21</v>
      </c>
      <c r="S350" s="14">
        <v>0</v>
      </c>
      <c r="T350" s="14">
        <v>0</v>
      </c>
      <c r="U350" s="14">
        <v>22</v>
      </c>
      <c r="V350" s="14">
        <v>21</v>
      </c>
      <c r="W350" s="14">
        <v>17</v>
      </c>
      <c r="X350" s="14">
        <v>24</v>
      </c>
      <c r="Y350" s="14">
        <v>19</v>
      </c>
      <c r="Z350" s="65">
        <v>21</v>
      </c>
      <c r="AA350" s="17">
        <f t="shared" si="222"/>
        <v>0.10526315789473684</v>
      </c>
      <c r="AB350" s="17">
        <f t="shared" si="200"/>
        <v>-4.5454545454545456E-2</v>
      </c>
      <c r="AC350" s="17">
        <f t="shared" si="223"/>
        <v>0</v>
      </c>
    </row>
    <row r="351" spans="1:29" outlineLevel="6" x14ac:dyDescent="0.2">
      <c r="A351" s="35" t="s">
        <v>414</v>
      </c>
      <c r="B351" s="36" t="s">
        <v>414</v>
      </c>
      <c r="C351" s="37" t="s">
        <v>414</v>
      </c>
      <c r="D351" s="20" t="s">
        <v>416</v>
      </c>
      <c r="E351" s="12">
        <v>486</v>
      </c>
      <c r="F351" s="33">
        <v>7020</v>
      </c>
      <c r="G351" s="101">
        <v>260</v>
      </c>
      <c r="H351" s="101">
        <v>230</v>
      </c>
      <c r="I351" s="101">
        <v>267</v>
      </c>
      <c r="J351" s="101">
        <v>289</v>
      </c>
      <c r="K351" s="101">
        <v>338</v>
      </c>
      <c r="L351" s="101">
        <v>320</v>
      </c>
      <c r="M351" s="101">
        <v>379</v>
      </c>
      <c r="N351" s="15">
        <v>415</v>
      </c>
      <c r="O351" s="15">
        <v>412</v>
      </c>
      <c r="P351" s="15">
        <v>474</v>
      </c>
      <c r="Q351" s="15">
        <v>502</v>
      </c>
      <c r="R351" s="15">
        <v>456</v>
      </c>
      <c r="S351" s="15">
        <v>489</v>
      </c>
      <c r="T351" s="15">
        <v>524</v>
      </c>
      <c r="U351" s="15">
        <v>519</v>
      </c>
      <c r="V351" s="15">
        <f>506-1</f>
        <v>505</v>
      </c>
      <c r="W351" s="15">
        <v>489</v>
      </c>
      <c r="X351" s="15">
        <v>519</v>
      </c>
      <c r="Y351" s="15">
        <v>488</v>
      </c>
      <c r="Z351" s="34">
        <v>522</v>
      </c>
      <c r="AA351" s="17">
        <f t="shared" si="222"/>
        <v>6.9672131147540978E-2</v>
      </c>
      <c r="AB351" s="17">
        <f t="shared" si="200"/>
        <v>5.7803468208092483E-3</v>
      </c>
      <c r="AC351" s="17">
        <f t="shared" si="223"/>
        <v>0.10126582278481013</v>
      </c>
    </row>
    <row r="352" spans="1:29" outlineLevel="6" x14ac:dyDescent="0.2">
      <c r="A352" s="35" t="s">
        <v>414</v>
      </c>
      <c r="B352" s="36" t="s">
        <v>414</v>
      </c>
      <c r="C352" s="37" t="s">
        <v>414</v>
      </c>
      <c r="D352" s="20" t="s">
        <v>417</v>
      </c>
      <c r="E352" s="12">
        <v>487</v>
      </c>
      <c r="F352" s="33">
        <v>7040</v>
      </c>
      <c r="G352" s="101">
        <v>175</v>
      </c>
      <c r="H352" s="101">
        <v>118</v>
      </c>
      <c r="I352" s="101">
        <v>144</v>
      </c>
      <c r="J352" s="101">
        <v>115</v>
      </c>
      <c r="K352" s="101">
        <v>119</v>
      </c>
      <c r="L352" s="101">
        <v>116</v>
      </c>
      <c r="M352" s="101">
        <v>170</v>
      </c>
      <c r="N352" s="15">
        <v>152</v>
      </c>
      <c r="O352" s="15">
        <v>194</v>
      </c>
      <c r="P352" s="15">
        <v>207</v>
      </c>
      <c r="Q352" s="15">
        <v>227</v>
      </c>
      <c r="R352" s="15">
        <v>259</v>
      </c>
      <c r="S352" s="15">
        <v>285</v>
      </c>
      <c r="T352" s="15">
        <v>291</v>
      </c>
      <c r="U352" s="15">
        <v>239</v>
      </c>
      <c r="V352" s="15">
        <f>201-15</f>
        <v>186</v>
      </c>
      <c r="W352" s="15">
        <f>147-12</f>
        <v>135</v>
      </c>
      <c r="X352" s="15">
        <v>112</v>
      </c>
      <c r="Y352" s="15">
        <v>95</v>
      </c>
      <c r="Z352" s="34">
        <v>136</v>
      </c>
      <c r="AA352" s="17">
        <f t="shared" si="222"/>
        <v>0.43157894736842106</v>
      </c>
      <c r="AB352" s="17">
        <f t="shared" si="200"/>
        <v>-0.43096234309623432</v>
      </c>
      <c r="AC352" s="17">
        <f t="shared" si="223"/>
        <v>-0.34299516908212563</v>
      </c>
    </row>
    <row r="353" spans="1:29" outlineLevel="6" x14ac:dyDescent="0.2">
      <c r="A353" s="35" t="s">
        <v>414</v>
      </c>
      <c r="B353" s="36" t="s">
        <v>414</v>
      </c>
      <c r="C353" s="37" t="s">
        <v>414</v>
      </c>
      <c r="D353" s="20" t="s">
        <v>418</v>
      </c>
      <c r="E353" s="12">
        <v>487</v>
      </c>
      <c r="F353" s="33">
        <v>7050</v>
      </c>
      <c r="G353" s="101"/>
      <c r="H353" s="101"/>
      <c r="I353" s="101"/>
      <c r="J353" s="101"/>
      <c r="K353" s="101"/>
      <c r="L353" s="101"/>
      <c r="M353" s="101">
        <v>47</v>
      </c>
      <c r="N353" s="15">
        <v>72</v>
      </c>
      <c r="O353" s="15">
        <v>125</v>
      </c>
      <c r="P353" s="15">
        <v>137</v>
      </c>
      <c r="Q353" s="15">
        <v>145</v>
      </c>
      <c r="R353" s="15">
        <v>169</v>
      </c>
      <c r="S353" s="15">
        <v>186</v>
      </c>
      <c r="T353" s="15">
        <v>183</v>
      </c>
      <c r="U353" s="15">
        <v>172</v>
      </c>
      <c r="V353" s="15">
        <v>176</v>
      </c>
      <c r="W353" s="15">
        <f>165-1</f>
        <v>164</v>
      </c>
      <c r="X353" s="15">
        <v>170</v>
      </c>
      <c r="Y353" s="15">
        <v>176</v>
      </c>
      <c r="Z353" s="34">
        <v>176</v>
      </c>
      <c r="AA353" s="17">
        <f t="shared" si="222"/>
        <v>0</v>
      </c>
      <c r="AB353" s="17">
        <f t="shared" si="200"/>
        <v>2.3255813953488372E-2</v>
      </c>
      <c r="AC353" s="17">
        <f t="shared" si="223"/>
        <v>0.28467153284671531</v>
      </c>
    </row>
    <row r="354" spans="1:29" outlineLevel="5" x14ac:dyDescent="0.2">
      <c r="A354" s="35"/>
      <c r="B354" s="36"/>
      <c r="C354" s="40" t="s">
        <v>419</v>
      </c>
      <c r="D354" s="20"/>
      <c r="E354" s="12"/>
      <c r="F354" s="33"/>
      <c r="G354" s="101">
        <f t="shared" ref="G354:M354" si="244">SUBTOTAL(9,G350:G353)</f>
        <v>435</v>
      </c>
      <c r="H354" s="101">
        <f t="shared" si="244"/>
        <v>348</v>
      </c>
      <c r="I354" s="101">
        <f t="shared" si="244"/>
        <v>411</v>
      </c>
      <c r="J354" s="101">
        <f t="shared" si="244"/>
        <v>404</v>
      </c>
      <c r="K354" s="101">
        <f t="shared" si="244"/>
        <v>457</v>
      </c>
      <c r="L354" s="101">
        <f t="shared" si="244"/>
        <v>479</v>
      </c>
      <c r="M354" s="101">
        <f t="shared" si="244"/>
        <v>622</v>
      </c>
      <c r="N354" s="15">
        <f t="shared" ref="N354:X354" si="245">SUBTOTAL(9,N350:N353)</f>
        <v>666</v>
      </c>
      <c r="O354" s="15">
        <f t="shared" si="245"/>
        <v>751</v>
      </c>
      <c r="P354" s="15">
        <f t="shared" si="245"/>
        <v>839</v>
      </c>
      <c r="Q354" s="15">
        <f t="shared" si="245"/>
        <v>897</v>
      </c>
      <c r="R354" s="15">
        <f t="shared" si="245"/>
        <v>905</v>
      </c>
      <c r="S354" s="15">
        <f t="shared" si="245"/>
        <v>960</v>
      </c>
      <c r="T354" s="15">
        <f t="shared" si="245"/>
        <v>998</v>
      </c>
      <c r="U354" s="15">
        <f t="shared" si="245"/>
        <v>952</v>
      </c>
      <c r="V354" s="15">
        <f t="shared" si="245"/>
        <v>888</v>
      </c>
      <c r="W354" s="15">
        <f t="shared" si="245"/>
        <v>805</v>
      </c>
      <c r="X354" s="15">
        <f t="shared" si="245"/>
        <v>825</v>
      </c>
      <c r="Y354" s="15">
        <f t="shared" ref="Y354:Z354" si="246">SUBTOTAL(9,Y350:Y353)</f>
        <v>778</v>
      </c>
      <c r="Z354" s="34">
        <f t="shared" si="246"/>
        <v>855</v>
      </c>
      <c r="AA354" s="17">
        <f t="shared" si="222"/>
        <v>9.8971722365038567E-2</v>
      </c>
      <c r="AB354" s="17">
        <f t="shared" si="200"/>
        <v>-0.10189075630252101</v>
      </c>
      <c r="AC354" s="17">
        <f t="shared" si="223"/>
        <v>1.9070321811680571E-2</v>
      </c>
    </row>
    <row r="355" spans="1:29" outlineLevel="6" x14ac:dyDescent="0.2">
      <c r="A355" s="35" t="s">
        <v>414</v>
      </c>
      <c r="B355" s="36" t="s">
        <v>275</v>
      </c>
      <c r="C355" s="37" t="s">
        <v>275</v>
      </c>
      <c r="D355" s="20" t="s">
        <v>420</v>
      </c>
      <c r="E355" s="12">
        <v>11</v>
      </c>
      <c r="F355" s="33">
        <v>7001</v>
      </c>
      <c r="G355" s="101">
        <v>68</v>
      </c>
      <c r="H355" s="101">
        <v>50</v>
      </c>
      <c r="I355" s="101">
        <v>53</v>
      </c>
      <c r="J355" s="101">
        <v>81</v>
      </c>
      <c r="K355" s="101">
        <v>119</v>
      </c>
      <c r="L355" s="101">
        <v>166</v>
      </c>
      <c r="M355" s="101">
        <v>131</v>
      </c>
      <c r="N355" s="15">
        <v>149</v>
      </c>
      <c r="O355" s="15">
        <v>65</v>
      </c>
      <c r="P355" s="15">
        <v>35</v>
      </c>
      <c r="Q355" s="15">
        <v>11</v>
      </c>
      <c r="R355" s="15">
        <v>6</v>
      </c>
      <c r="S355" s="15">
        <v>7</v>
      </c>
      <c r="T355" s="15">
        <v>3</v>
      </c>
      <c r="U355" s="15">
        <v>2</v>
      </c>
      <c r="V355" s="15">
        <v>2</v>
      </c>
      <c r="W355" s="15"/>
      <c r="X355" s="15"/>
      <c r="Y355" s="15"/>
      <c r="Z355" s="34"/>
      <c r="AA355" s="17" t="str">
        <f t="shared" si="222"/>
        <v/>
      </c>
      <c r="AB355" s="17">
        <f t="shared" ref="AB355:AB377" si="247">IF(U355&gt;0, (Z355-U355)/U355, "")</f>
        <v>-1</v>
      </c>
      <c r="AC355" s="17">
        <f t="shared" si="223"/>
        <v>-1</v>
      </c>
    </row>
    <row r="356" spans="1:29" outlineLevel="6" x14ac:dyDescent="0.2">
      <c r="A356" s="35" t="s">
        <v>414</v>
      </c>
      <c r="B356" s="36" t="s">
        <v>275</v>
      </c>
      <c r="C356" s="37" t="s">
        <v>275</v>
      </c>
      <c r="D356" s="20" t="s">
        <v>421</v>
      </c>
      <c r="E356" s="12">
        <v>483</v>
      </c>
      <c r="F356" s="33">
        <v>7002</v>
      </c>
      <c r="G356" s="101">
        <v>5</v>
      </c>
      <c r="H356" s="101">
        <v>4</v>
      </c>
      <c r="I356" s="101">
        <v>3</v>
      </c>
      <c r="J356" s="101">
        <v>4</v>
      </c>
      <c r="K356" s="101">
        <v>1</v>
      </c>
      <c r="L356" s="101"/>
      <c r="M356" s="101">
        <v>3</v>
      </c>
      <c r="N356" s="15">
        <v>5</v>
      </c>
      <c r="O356" s="15">
        <v>5</v>
      </c>
      <c r="P356" s="15">
        <v>4</v>
      </c>
      <c r="Q356" s="15">
        <v>5</v>
      </c>
      <c r="R356" s="15">
        <v>1</v>
      </c>
      <c r="S356" s="15">
        <v>1</v>
      </c>
      <c r="T356" s="15">
        <v>4</v>
      </c>
      <c r="U356" s="15">
        <v>0</v>
      </c>
      <c r="V356" s="15">
        <f>2-1</f>
        <v>1</v>
      </c>
      <c r="W356" s="15">
        <v>1</v>
      </c>
      <c r="X356" s="15"/>
      <c r="Y356" s="15">
        <v>1</v>
      </c>
      <c r="Z356" s="34"/>
      <c r="AA356" s="17">
        <f t="shared" si="222"/>
        <v>-1</v>
      </c>
      <c r="AB356" s="17" t="str">
        <f t="shared" si="247"/>
        <v/>
      </c>
      <c r="AC356" s="17">
        <f t="shared" si="223"/>
        <v>-1</v>
      </c>
    </row>
    <row r="357" spans="1:29" outlineLevel="6" x14ac:dyDescent="0.2">
      <c r="A357" s="35" t="s">
        <v>414</v>
      </c>
      <c r="B357" s="36" t="s">
        <v>275</v>
      </c>
      <c r="C357" s="37" t="s">
        <v>275</v>
      </c>
      <c r="D357" s="20" t="s">
        <v>422</v>
      </c>
      <c r="E357" s="12">
        <v>485</v>
      </c>
      <c r="F357" s="33">
        <v>7005</v>
      </c>
      <c r="G357" s="101">
        <v>173</v>
      </c>
      <c r="H357" s="101">
        <v>186</v>
      </c>
      <c r="I357" s="101">
        <v>192</v>
      </c>
      <c r="J357" s="101">
        <v>235</v>
      </c>
      <c r="K357" s="101">
        <v>291</v>
      </c>
      <c r="L357" s="101">
        <v>440</v>
      </c>
      <c r="M357" s="101">
        <v>546</v>
      </c>
      <c r="N357" s="15">
        <v>598</v>
      </c>
      <c r="O357" s="15">
        <v>770</v>
      </c>
      <c r="P357" s="15">
        <v>899</v>
      </c>
      <c r="Q357" s="15">
        <v>932</v>
      </c>
      <c r="R357" s="15">
        <v>681</v>
      </c>
      <c r="S357" s="15">
        <v>638</v>
      </c>
      <c r="T357" s="15">
        <v>558</v>
      </c>
      <c r="U357" s="15">
        <v>519</v>
      </c>
      <c r="V357" s="15">
        <f>576-17</f>
        <v>559</v>
      </c>
      <c r="W357" s="15">
        <f>558-17</f>
        <v>541</v>
      </c>
      <c r="X357" s="15">
        <v>517</v>
      </c>
      <c r="Y357" s="15">
        <v>421</v>
      </c>
      <c r="Z357" s="34">
        <v>343</v>
      </c>
      <c r="AA357" s="17">
        <f t="shared" si="222"/>
        <v>-0.18527315914489312</v>
      </c>
      <c r="AB357" s="17">
        <f t="shared" si="247"/>
        <v>-0.33911368015414256</v>
      </c>
      <c r="AC357" s="17">
        <f t="shared" si="223"/>
        <v>-0.6184649610678532</v>
      </c>
    </row>
    <row r="358" spans="1:29" outlineLevel="6" x14ac:dyDescent="0.2">
      <c r="A358" s="35" t="s">
        <v>414</v>
      </c>
      <c r="B358" s="36" t="s">
        <v>275</v>
      </c>
      <c r="C358" s="37" t="s">
        <v>275</v>
      </c>
      <c r="D358" s="20" t="s">
        <v>423</v>
      </c>
      <c r="E358" s="12">
        <v>485</v>
      </c>
      <c r="F358" s="33">
        <v>7008</v>
      </c>
      <c r="G358" s="101"/>
      <c r="H358" s="101"/>
      <c r="I358" s="101"/>
      <c r="J358" s="101"/>
      <c r="K358" s="101"/>
      <c r="L358" s="101"/>
      <c r="M358" s="101">
        <v>3</v>
      </c>
      <c r="N358" s="15">
        <v>139</v>
      </c>
      <c r="O358" s="15">
        <v>166</v>
      </c>
      <c r="P358" s="15">
        <v>214</v>
      </c>
      <c r="Q358" s="15">
        <v>249</v>
      </c>
      <c r="R358" s="15">
        <v>201</v>
      </c>
      <c r="S358" s="15">
        <v>180</v>
      </c>
      <c r="T358" s="15">
        <v>162</v>
      </c>
      <c r="U358" s="15">
        <v>163</v>
      </c>
      <c r="V358" s="15">
        <f>164-9</f>
        <v>155</v>
      </c>
      <c r="W358" s="15">
        <f>150-7</f>
        <v>143</v>
      </c>
      <c r="X358" s="15">
        <v>133</v>
      </c>
      <c r="Y358" s="15">
        <v>143</v>
      </c>
      <c r="Z358" s="34">
        <v>130</v>
      </c>
      <c r="AA358" s="17">
        <f t="shared" si="222"/>
        <v>-9.0909090909090912E-2</v>
      </c>
      <c r="AB358" s="17">
        <f t="shared" si="247"/>
        <v>-0.20245398773006135</v>
      </c>
      <c r="AC358" s="17">
        <f t="shared" si="223"/>
        <v>-0.3925233644859813</v>
      </c>
    </row>
    <row r="359" spans="1:29" outlineLevel="5" x14ac:dyDescent="0.2">
      <c r="A359" s="35"/>
      <c r="B359" s="36"/>
      <c r="C359" s="40" t="s">
        <v>290</v>
      </c>
      <c r="D359" s="11"/>
      <c r="E359" s="77"/>
      <c r="F359" s="79"/>
      <c r="G359" s="105">
        <f t="shared" ref="G359:M359" si="248">SUBTOTAL(9,G355:G358)</f>
        <v>246</v>
      </c>
      <c r="H359" s="105">
        <f t="shared" si="248"/>
        <v>240</v>
      </c>
      <c r="I359" s="105">
        <f t="shared" si="248"/>
        <v>248</v>
      </c>
      <c r="J359" s="105">
        <f t="shared" si="248"/>
        <v>320</v>
      </c>
      <c r="K359" s="105">
        <f t="shared" si="248"/>
        <v>411</v>
      </c>
      <c r="L359" s="105">
        <f t="shared" si="248"/>
        <v>606</v>
      </c>
      <c r="M359" s="105">
        <f t="shared" si="248"/>
        <v>683</v>
      </c>
      <c r="N359" s="80">
        <f t="shared" ref="N359:W359" si="249">SUBTOTAL(9,N355:N358)</f>
        <v>891</v>
      </c>
      <c r="O359" s="80">
        <f t="shared" si="249"/>
        <v>1006</v>
      </c>
      <c r="P359" s="80">
        <f t="shared" si="249"/>
        <v>1152</v>
      </c>
      <c r="Q359" s="80">
        <f t="shared" si="249"/>
        <v>1197</v>
      </c>
      <c r="R359" s="80">
        <f t="shared" si="249"/>
        <v>889</v>
      </c>
      <c r="S359" s="80">
        <f t="shared" si="249"/>
        <v>826</v>
      </c>
      <c r="T359" s="80">
        <f t="shared" si="249"/>
        <v>727</v>
      </c>
      <c r="U359" s="80">
        <f t="shared" si="249"/>
        <v>684</v>
      </c>
      <c r="V359" s="80">
        <f t="shared" si="249"/>
        <v>717</v>
      </c>
      <c r="W359" s="80">
        <f t="shared" si="249"/>
        <v>685</v>
      </c>
      <c r="X359" s="80">
        <f t="shared" ref="X359:Z359" si="250">SUBTOTAL(9,X355:X358)</f>
        <v>650</v>
      </c>
      <c r="Y359" s="80">
        <f t="shared" si="250"/>
        <v>565</v>
      </c>
      <c r="Z359" s="81">
        <f t="shared" si="250"/>
        <v>473</v>
      </c>
      <c r="AA359" s="17">
        <f t="shared" si="222"/>
        <v>-0.16283185840707964</v>
      </c>
      <c r="AB359" s="17">
        <f t="shared" si="247"/>
        <v>-0.30847953216374269</v>
      </c>
      <c r="AC359" s="17">
        <f t="shared" si="223"/>
        <v>-0.58940972222222221</v>
      </c>
    </row>
    <row r="360" spans="1:29" outlineLevel="4" x14ac:dyDescent="0.2">
      <c r="A360" s="35"/>
      <c r="B360" s="39" t="s">
        <v>419</v>
      </c>
      <c r="C360" s="37"/>
      <c r="D360" s="11"/>
      <c r="E360" s="77"/>
      <c r="F360" s="79"/>
      <c r="G360" s="105">
        <f t="shared" ref="G360:M360" si="251">SUBTOTAL(9,G350:G358)</f>
        <v>681</v>
      </c>
      <c r="H360" s="105">
        <f t="shared" si="251"/>
        <v>588</v>
      </c>
      <c r="I360" s="105">
        <f t="shared" si="251"/>
        <v>659</v>
      </c>
      <c r="J360" s="105">
        <f t="shared" si="251"/>
        <v>724</v>
      </c>
      <c r="K360" s="105">
        <f t="shared" si="251"/>
        <v>868</v>
      </c>
      <c r="L360" s="105">
        <f t="shared" si="251"/>
        <v>1085</v>
      </c>
      <c r="M360" s="105">
        <f t="shared" si="251"/>
        <v>1305</v>
      </c>
      <c r="N360" s="80">
        <f t="shared" ref="N360:W360" si="252">SUBTOTAL(9,N350:N358)</f>
        <v>1557</v>
      </c>
      <c r="O360" s="80">
        <f t="shared" si="252"/>
        <v>1757</v>
      </c>
      <c r="P360" s="80">
        <f t="shared" si="252"/>
        <v>1991</v>
      </c>
      <c r="Q360" s="80">
        <f t="shared" si="252"/>
        <v>2094</v>
      </c>
      <c r="R360" s="80">
        <f t="shared" si="252"/>
        <v>1794</v>
      </c>
      <c r="S360" s="80">
        <f t="shared" si="252"/>
        <v>1786</v>
      </c>
      <c r="T360" s="80">
        <f t="shared" si="252"/>
        <v>1725</v>
      </c>
      <c r="U360" s="80">
        <f t="shared" si="252"/>
        <v>1636</v>
      </c>
      <c r="V360" s="80">
        <f t="shared" si="252"/>
        <v>1605</v>
      </c>
      <c r="W360" s="80">
        <f t="shared" si="252"/>
        <v>1490</v>
      </c>
      <c r="X360" s="80">
        <f t="shared" ref="X360:Y360" si="253">SUBTOTAL(9,X350:X358)</f>
        <v>1475</v>
      </c>
      <c r="Y360" s="80">
        <f t="shared" si="253"/>
        <v>1343</v>
      </c>
      <c r="Z360" s="81">
        <f t="shared" ref="Z360" si="254">SUBTOTAL(9,Z350:Z358)</f>
        <v>1328</v>
      </c>
      <c r="AA360" s="17">
        <f t="shared" si="222"/>
        <v>-1.1169024571854059E-2</v>
      </c>
      <c r="AB360" s="17">
        <f t="shared" si="247"/>
        <v>-0.18826405867970661</v>
      </c>
      <c r="AC360" s="17">
        <f t="shared" si="223"/>
        <v>-0.33299849321948771</v>
      </c>
    </row>
    <row r="361" spans="1:29" s="44" customFormat="1" outlineLevel="3" x14ac:dyDescent="0.2">
      <c r="A361" s="38" t="s">
        <v>419</v>
      </c>
      <c r="B361" s="39"/>
      <c r="C361" s="40"/>
      <c r="D361" s="82"/>
      <c r="E361" s="78"/>
      <c r="F361" s="83"/>
      <c r="G361" s="106">
        <f t="shared" ref="G361:M361" si="255">SUBTOTAL(9,G350:G358)</f>
        <v>681</v>
      </c>
      <c r="H361" s="106">
        <f t="shared" si="255"/>
        <v>588</v>
      </c>
      <c r="I361" s="106">
        <f t="shared" si="255"/>
        <v>659</v>
      </c>
      <c r="J361" s="106">
        <f t="shared" si="255"/>
        <v>724</v>
      </c>
      <c r="K361" s="106">
        <f t="shared" si="255"/>
        <v>868</v>
      </c>
      <c r="L361" s="106">
        <f t="shared" si="255"/>
        <v>1085</v>
      </c>
      <c r="M361" s="106">
        <f t="shared" si="255"/>
        <v>1305</v>
      </c>
      <c r="N361" s="84">
        <f t="shared" ref="N361:W361" si="256">SUBTOTAL(9,N350:N358)</f>
        <v>1557</v>
      </c>
      <c r="O361" s="84">
        <f t="shared" si="256"/>
        <v>1757</v>
      </c>
      <c r="P361" s="84">
        <f t="shared" si="256"/>
        <v>1991</v>
      </c>
      <c r="Q361" s="84">
        <f t="shared" si="256"/>
        <v>2094</v>
      </c>
      <c r="R361" s="84">
        <f t="shared" si="256"/>
        <v>1794</v>
      </c>
      <c r="S361" s="84">
        <f t="shared" si="256"/>
        <v>1786</v>
      </c>
      <c r="T361" s="84">
        <f t="shared" si="256"/>
        <v>1725</v>
      </c>
      <c r="U361" s="84">
        <f t="shared" si="256"/>
        <v>1636</v>
      </c>
      <c r="V361" s="84">
        <f t="shared" si="256"/>
        <v>1605</v>
      </c>
      <c r="W361" s="84">
        <f t="shared" si="256"/>
        <v>1490</v>
      </c>
      <c r="X361" s="84">
        <f t="shared" ref="X361:Y361" si="257">SUBTOTAL(9,X350:X358)</f>
        <v>1475</v>
      </c>
      <c r="Y361" s="84">
        <f t="shared" si="257"/>
        <v>1343</v>
      </c>
      <c r="Z361" s="85">
        <f t="shared" ref="Z361" si="258">SUBTOTAL(9,Z350:Z358)</f>
        <v>1328</v>
      </c>
      <c r="AA361" s="17">
        <f t="shared" si="222"/>
        <v>-1.1169024571854059E-2</v>
      </c>
      <c r="AB361" s="17">
        <f t="shared" si="247"/>
        <v>-0.18826405867970661</v>
      </c>
      <c r="AC361" s="17">
        <f t="shared" si="223"/>
        <v>-0.33299849321948771</v>
      </c>
    </row>
    <row r="362" spans="1:29" outlineLevel="6" x14ac:dyDescent="0.2">
      <c r="A362" s="71" t="s">
        <v>424</v>
      </c>
      <c r="B362" s="36" t="s">
        <v>425</v>
      </c>
      <c r="C362" s="37" t="s">
        <v>425</v>
      </c>
      <c r="D362" s="11" t="s">
        <v>426</v>
      </c>
      <c r="E362" s="77">
        <v>99</v>
      </c>
      <c r="F362" s="79">
        <v>7505</v>
      </c>
      <c r="G362" s="105">
        <v>162</v>
      </c>
      <c r="H362" s="105">
        <v>187</v>
      </c>
      <c r="I362" s="105">
        <v>195</v>
      </c>
      <c r="J362" s="105">
        <v>155</v>
      </c>
      <c r="K362" s="105">
        <v>169</v>
      </c>
      <c r="L362" s="105">
        <v>157</v>
      </c>
      <c r="M362" s="105">
        <v>189</v>
      </c>
      <c r="N362" s="80">
        <v>204</v>
      </c>
      <c r="O362" s="80">
        <v>190</v>
      </c>
      <c r="P362" s="80">
        <v>16</v>
      </c>
      <c r="Q362" s="80">
        <v>7</v>
      </c>
      <c r="R362" s="80">
        <v>3</v>
      </c>
      <c r="S362" s="80">
        <v>1</v>
      </c>
      <c r="T362" s="80">
        <v>1</v>
      </c>
      <c r="U362" s="80"/>
      <c r="V362" s="80">
        <v>1</v>
      </c>
      <c r="W362" s="80"/>
      <c r="X362" s="80"/>
      <c r="Y362" s="80"/>
      <c r="Z362" s="81"/>
      <c r="AA362" s="17" t="str">
        <f t="shared" si="222"/>
        <v/>
      </c>
      <c r="AB362" s="17" t="str">
        <f t="shared" si="247"/>
        <v/>
      </c>
      <c r="AC362" s="17">
        <f t="shared" si="223"/>
        <v>-1</v>
      </c>
    </row>
    <row r="363" spans="1:29" outlineLevel="6" x14ac:dyDescent="0.2">
      <c r="A363" s="71" t="s">
        <v>424</v>
      </c>
      <c r="B363" s="36" t="s">
        <v>425</v>
      </c>
      <c r="C363" s="37" t="s">
        <v>425</v>
      </c>
      <c r="D363" s="20" t="s">
        <v>427</v>
      </c>
      <c r="E363" s="12"/>
      <c r="F363" s="33">
        <v>7600</v>
      </c>
      <c r="G363" s="101"/>
      <c r="H363" s="101"/>
      <c r="I363" s="101"/>
      <c r="J363" s="101"/>
      <c r="K363" s="101"/>
      <c r="L363" s="101"/>
      <c r="M363" s="101"/>
      <c r="N363" s="15"/>
      <c r="O363" s="15"/>
      <c r="P363" s="15">
        <v>116</v>
      </c>
      <c r="Q363" s="15">
        <v>97</v>
      </c>
      <c r="R363" s="15">
        <v>99</v>
      </c>
      <c r="S363" s="15">
        <v>88</v>
      </c>
      <c r="T363" s="15">
        <v>61</v>
      </c>
      <c r="U363" s="15">
        <v>85</v>
      </c>
      <c r="V363" s="15">
        <f>77-1</f>
        <v>76</v>
      </c>
      <c r="W363" s="15">
        <f>73-5</f>
        <v>68</v>
      </c>
      <c r="X363" s="15">
        <v>86</v>
      </c>
      <c r="Y363" s="15">
        <v>93</v>
      </c>
      <c r="Z363" s="34">
        <v>78</v>
      </c>
      <c r="AA363" s="17">
        <f t="shared" si="222"/>
        <v>-0.16129032258064516</v>
      </c>
      <c r="AB363" s="17">
        <f t="shared" si="247"/>
        <v>-8.2352941176470587E-2</v>
      </c>
      <c r="AC363" s="17">
        <f t="shared" si="223"/>
        <v>-0.32758620689655171</v>
      </c>
    </row>
    <row r="364" spans="1:29" outlineLevel="6" x14ac:dyDescent="0.2">
      <c r="A364" s="71" t="s">
        <v>424</v>
      </c>
      <c r="B364" s="36" t="s">
        <v>425</v>
      </c>
      <c r="C364" s="37" t="s">
        <v>425</v>
      </c>
      <c r="D364" s="20" t="s">
        <v>428</v>
      </c>
      <c r="E364" s="12"/>
      <c r="F364" s="33" t="s">
        <v>429</v>
      </c>
      <c r="G364" s="101">
        <v>86</v>
      </c>
      <c r="H364" s="101">
        <v>82</v>
      </c>
      <c r="I364" s="101">
        <v>91</v>
      </c>
      <c r="J364" s="101">
        <v>126</v>
      </c>
      <c r="K364" s="101">
        <v>95</v>
      </c>
      <c r="L364" s="101">
        <v>107</v>
      </c>
      <c r="M364" s="101">
        <v>118</v>
      </c>
      <c r="N364" s="15">
        <v>133</v>
      </c>
      <c r="O364" s="15">
        <v>165</v>
      </c>
      <c r="P364" s="15">
        <v>147</v>
      </c>
      <c r="Q364" s="15">
        <v>155</v>
      </c>
      <c r="R364" s="15">
        <v>165</v>
      </c>
      <c r="S364" s="15">
        <v>148</v>
      </c>
      <c r="T364" s="15">
        <v>123</v>
      </c>
      <c r="U364" s="15">
        <v>151</v>
      </c>
      <c r="V364" s="15">
        <f>142-8</f>
        <v>134</v>
      </c>
      <c r="W364" s="15">
        <v>158</v>
      </c>
      <c r="X364" s="15">
        <v>161</v>
      </c>
      <c r="Y364" s="15">
        <v>180</v>
      </c>
      <c r="Z364" s="34">
        <v>222</v>
      </c>
      <c r="AA364" s="17">
        <f t="shared" si="222"/>
        <v>0.23333333333333334</v>
      </c>
      <c r="AB364" s="17">
        <f t="shared" si="247"/>
        <v>0.47019867549668876</v>
      </c>
      <c r="AC364" s="17">
        <f t="shared" si="223"/>
        <v>0.51020408163265307</v>
      </c>
    </row>
    <row r="365" spans="1:29" outlineLevel="4" x14ac:dyDescent="0.2">
      <c r="A365" s="35"/>
      <c r="B365" s="39" t="s">
        <v>430</v>
      </c>
      <c r="C365" s="37"/>
      <c r="D365" s="20"/>
      <c r="E365" s="12"/>
      <c r="F365" s="33"/>
      <c r="G365" s="101">
        <f t="shared" ref="G365:M365" si="259">SUBTOTAL(9,G362:G364)</f>
        <v>248</v>
      </c>
      <c r="H365" s="101">
        <f t="shared" si="259"/>
        <v>269</v>
      </c>
      <c r="I365" s="101">
        <f t="shared" si="259"/>
        <v>286</v>
      </c>
      <c r="J365" s="101">
        <f t="shared" si="259"/>
        <v>281</v>
      </c>
      <c r="K365" s="101">
        <f t="shared" si="259"/>
        <v>264</v>
      </c>
      <c r="L365" s="101">
        <f t="shared" si="259"/>
        <v>264</v>
      </c>
      <c r="M365" s="101">
        <f t="shared" si="259"/>
        <v>307</v>
      </c>
      <c r="N365" s="15">
        <f t="shared" ref="N365:X365" si="260">SUBTOTAL(9,N362:N364)</f>
        <v>337</v>
      </c>
      <c r="O365" s="15">
        <f t="shared" si="260"/>
        <v>355</v>
      </c>
      <c r="P365" s="15">
        <f t="shared" si="260"/>
        <v>279</v>
      </c>
      <c r="Q365" s="15">
        <f t="shared" si="260"/>
        <v>259</v>
      </c>
      <c r="R365" s="15">
        <f t="shared" si="260"/>
        <v>267</v>
      </c>
      <c r="S365" s="15">
        <f t="shared" si="260"/>
        <v>237</v>
      </c>
      <c r="T365" s="15">
        <f t="shared" si="260"/>
        <v>185</v>
      </c>
      <c r="U365" s="15">
        <f t="shared" si="260"/>
        <v>236</v>
      </c>
      <c r="V365" s="15">
        <f t="shared" si="260"/>
        <v>211</v>
      </c>
      <c r="W365" s="15">
        <f t="shared" si="260"/>
        <v>226</v>
      </c>
      <c r="X365" s="15">
        <f t="shared" si="260"/>
        <v>247</v>
      </c>
      <c r="Y365" s="15">
        <f t="shared" ref="Y365:Z365" si="261">SUBTOTAL(9,Y362:Y364)</f>
        <v>273</v>
      </c>
      <c r="Z365" s="34">
        <f t="shared" si="261"/>
        <v>300</v>
      </c>
      <c r="AA365" s="17">
        <f t="shared" si="222"/>
        <v>9.8901098901098897E-2</v>
      </c>
      <c r="AB365" s="17">
        <f t="shared" si="247"/>
        <v>0.2711864406779661</v>
      </c>
      <c r="AC365" s="17">
        <f t="shared" si="223"/>
        <v>7.5268817204301078E-2</v>
      </c>
    </row>
    <row r="366" spans="1:29" s="51" customFormat="1" outlineLevel="3" x14ac:dyDescent="0.2">
      <c r="A366" s="38" t="s">
        <v>431</v>
      </c>
      <c r="B366" s="45"/>
      <c r="C366" s="68"/>
      <c r="D366" s="20"/>
      <c r="E366" s="12"/>
      <c r="F366" s="33"/>
      <c r="G366" s="101">
        <f t="shared" ref="G366:M366" si="262">SUBTOTAL(9,G362:G364)</f>
        <v>248</v>
      </c>
      <c r="H366" s="101">
        <f t="shared" si="262"/>
        <v>269</v>
      </c>
      <c r="I366" s="101">
        <f t="shared" si="262"/>
        <v>286</v>
      </c>
      <c r="J366" s="101">
        <f t="shared" si="262"/>
        <v>281</v>
      </c>
      <c r="K366" s="101">
        <f t="shared" si="262"/>
        <v>264</v>
      </c>
      <c r="L366" s="101">
        <f t="shared" si="262"/>
        <v>264</v>
      </c>
      <c r="M366" s="101">
        <f t="shared" si="262"/>
        <v>307</v>
      </c>
      <c r="N366" s="15">
        <f t="shared" ref="N366:X366" si="263">SUBTOTAL(9,N362:N364)</f>
        <v>337</v>
      </c>
      <c r="O366" s="15">
        <f t="shared" si="263"/>
        <v>355</v>
      </c>
      <c r="P366" s="15">
        <f t="shared" si="263"/>
        <v>279</v>
      </c>
      <c r="Q366" s="15">
        <f t="shared" si="263"/>
        <v>259</v>
      </c>
      <c r="R366" s="15">
        <f t="shared" si="263"/>
        <v>267</v>
      </c>
      <c r="S366" s="15">
        <f t="shared" si="263"/>
        <v>237</v>
      </c>
      <c r="T366" s="15">
        <f t="shared" si="263"/>
        <v>185</v>
      </c>
      <c r="U366" s="15">
        <f t="shared" si="263"/>
        <v>236</v>
      </c>
      <c r="V366" s="15">
        <f t="shared" si="263"/>
        <v>211</v>
      </c>
      <c r="W366" s="15">
        <f t="shared" si="263"/>
        <v>226</v>
      </c>
      <c r="X366" s="15">
        <f t="shared" si="263"/>
        <v>247</v>
      </c>
      <c r="Y366" s="15">
        <f t="shared" ref="Y366:Z366" si="264">SUBTOTAL(9,Y362:Y364)</f>
        <v>273</v>
      </c>
      <c r="Z366" s="34">
        <f t="shared" si="264"/>
        <v>300</v>
      </c>
      <c r="AA366" s="17">
        <f t="shared" si="222"/>
        <v>9.8901098901098897E-2</v>
      </c>
      <c r="AB366" s="17">
        <f t="shared" si="247"/>
        <v>0.2711864406779661</v>
      </c>
      <c r="AC366" s="17">
        <f t="shared" si="223"/>
        <v>7.5268817204301078E-2</v>
      </c>
    </row>
    <row r="367" spans="1:29" outlineLevel="6" x14ac:dyDescent="0.2">
      <c r="A367" s="35" t="s">
        <v>432</v>
      </c>
      <c r="B367" s="45" t="s">
        <v>432</v>
      </c>
      <c r="C367" s="68" t="s">
        <v>432</v>
      </c>
      <c r="D367" s="20" t="s">
        <v>433</v>
      </c>
      <c r="E367" s="12">
        <v>600</v>
      </c>
      <c r="F367" s="46" t="s">
        <v>434</v>
      </c>
      <c r="G367" s="101">
        <v>434</v>
      </c>
      <c r="H367" s="101">
        <v>565</v>
      </c>
      <c r="I367" s="101">
        <v>559</v>
      </c>
      <c r="J367" s="101">
        <v>553</v>
      </c>
      <c r="K367" s="101">
        <v>471</v>
      </c>
      <c r="L367" s="101">
        <v>478</v>
      </c>
      <c r="M367" s="101">
        <v>472</v>
      </c>
      <c r="N367" s="15">
        <v>469</v>
      </c>
      <c r="O367" s="15">
        <v>441</v>
      </c>
      <c r="P367" s="15">
        <v>379</v>
      </c>
      <c r="Q367" s="15">
        <v>480</v>
      </c>
      <c r="R367" s="15">
        <v>409</v>
      </c>
      <c r="S367" s="15">
        <v>415</v>
      </c>
      <c r="T367" s="15">
        <v>399</v>
      </c>
      <c r="U367" s="15">
        <v>433</v>
      </c>
      <c r="V367" s="15">
        <f>396-17</f>
        <v>379</v>
      </c>
      <c r="W367" s="15">
        <f>424-26</f>
        <v>398</v>
      </c>
      <c r="X367" s="15">
        <v>320</v>
      </c>
      <c r="Y367" s="15">
        <v>336</v>
      </c>
      <c r="Z367" s="34">
        <v>321</v>
      </c>
      <c r="AA367" s="17">
        <f t="shared" si="222"/>
        <v>-4.4642857142857144E-2</v>
      </c>
      <c r="AB367" s="17">
        <f t="shared" si="247"/>
        <v>-0.25866050808314089</v>
      </c>
      <c r="AC367" s="17">
        <f t="shared" si="223"/>
        <v>-0.15303430079155672</v>
      </c>
    </row>
    <row r="368" spans="1:29" s="44" customFormat="1" outlineLevel="4" x14ac:dyDescent="0.2">
      <c r="A368" s="38"/>
      <c r="B368" s="39" t="s">
        <v>435</v>
      </c>
      <c r="C368" s="40"/>
      <c r="D368" s="24"/>
      <c r="E368" s="25"/>
      <c r="F368" s="76"/>
      <c r="G368" s="102">
        <f t="shared" ref="G368:M368" si="265">SUBTOTAL(9,G367:G367)</f>
        <v>434</v>
      </c>
      <c r="H368" s="102">
        <f t="shared" si="265"/>
        <v>565</v>
      </c>
      <c r="I368" s="102">
        <f t="shared" si="265"/>
        <v>559</v>
      </c>
      <c r="J368" s="102">
        <f t="shared" si="265"/>
        <v>553</v>
      </c>
      <c r="K368" s="102">
        <f t="shared" si="265"/>
        <v>471</v>
      </c>
      <c r="L368" s="102">
        <f t="shared" si="265"/>
        <v>478</v>
      </c>
      <c r="M368" s="102">
        <f t="shared" si="265"/>
        <v>472</v>
      </c>
      <c r="N368" s="28">
        <f t="shared" ref="N368:X368" si="266">SUBTOTAL(9,N367:N367)</f>
        <v>469</v>
      </c>
      <c r="O368" s="28">
        <f t="shared" si="266"/>
        <v>441</v>
      </c>
      <c r="P368" s="28">
        <f t="shared" si="266"/>
        <v>379</v>
      </c>
      <c r="Q368" s="28">
        <f t="shared" si="266"/>
        <v>480</v>
      </c>
      <c r="R368" s="28">
        <f t="shared" si="266"/>
        <v>409</v>
      </c>
      <c r="S368" s="28">
        <f t="shared" si="266"/>
        <v>415</v>
      </c>
      <c r="T368" s="28">
        <f t="shared" si="266"/>
        <v>399</v>
      </c>
      <c r="U368" s="28">
        <f t="shared" si="266"/>
        <v>433</v>
      </c>
      <c r="V368" s="28">
        <f t="shared" si="266"/>
        <v>379</v>
      </c>
      <c r="W368" s="28">
        <f t="shared" si="266"/>
        <v>398</v>
      </c>
      <c r="X368" s="28">
        <f t="shared" si="266"/>
        <v>320</v>
      </c>
      <c r="Y368" s="28">
        <f t="shared" ref="Y368:Z368" si="267">SUBTOTAL(9,Y367:Y367)</f>
        <v>336</v>
      </c>
      <c r="Z368" s="43">
        <f t="shared" si="267"/>
        <v>321</v>
      </c>
      <c r="AA368" s="17">
        <f t="shared" si="222"/>
        <v>-4.4642857142857144E-2</v>
      </c>
      <c r="AB368" s="17">
        <f t="shared" si="247"/>
        <v>-0.25866050808314089</v>
      </c>
      <c r="AC368" s="17">
        <f t="shared" si="223"/>
        <v>-0.15303430079155672</v>
      </c>
    </row>
    <row r="369" spans="1:29" outlineLevel="6" x14ac:dyDescent="0.2">
      <c r="A369" s="35" t="s">
        <v>432</v>
      </c>
      <c r="B369" s="36" t="s">
        <v>432</v>
      </c>
      <c r="C369" s="37" t="s">
        <v>432</v>
      </c>
      <c r="D369" s="20" t="s">
        <v>436</v>
      </c>
      <c r="E369" s="12"/>
      <c r="F369" s="46" t="s">
        <v>437</v>
      </c>
      <c r="G369" s="101"/>
      <c r="H369" s="101"/>
      <c r="I369" s="101"/>
      <c r="J369" s="101"/>
      <c r="K369" s="101"/>
      <c r="L369" s="101"/>
      <c r="M369" s="101"/>
      <c r="N369" s="15"/>
      <c r="O369" s="15"/>
      <c r="P369" s="15"/>
      <c r="Q369" s="15">
        <v>4</v>
      </c>
      <c r="R369" s="15">
        <v>3</v>
      </c>
      <c r="S369" s="15">
        <v>2</v>
      </c>
      <c r="T369" s="15">
        <v>2</v>
      </c>
      <c r="U369" s="15">
        <v>2</v>
      </c>
      <c r="V369" s="15"/>
      <c r="W369" s="15"/>
      <c r="X369" s="15">
        <v>1</v>
      </c>
      <c r="Y369" s="15"/>
      <c r="Z369" s="34"/>
      <c r="AA369" s="17" t="str">
        <f t="shared" si="222"/>
        <v/>
      </c>
      <c r="AB369" s="17">
        <f t="shared" si="247"/>
        <v>-1</v>
      </c>
      <c r="AC369" s="17" t="str">
        <f t="shared" si="223"/>
        <v/>
      </c>
    </row>
    <row r="370" spans="1:29" outlineLevel="6" x14ac:dyDescent="0.2">
      <c r="A370" s="35" t="s">
        <v>432</v>
      </c>
      <c r="B370" s="36" t="s">
        <v>432</v>
      </c>
      <c r="C370" s="37" t="s">
        <v>432</v>
      </c>
      <c r="D370" s="20" t="s">
        <v>438</v>
      </c>
      <c r="E370" s="12"/>
      <c r="F370" s="46" t="s">
        <v>439</v>
      </c>
      <c r="G370" s="101"/>
      <c r="H370" s="101"/>
      <c r="I370" s="101"/>
      <c r="J370" s="101"/>
      <c r="K370" s="101"/>
      <c r="L370" s="101"/>
      <c r="M370" s="101"/>
      <c r="N370" s="15"/>
      <c r="O370" s="15"/>
      <c r="P370" s="15">
        <v>3</v>
      </c>
      <c r="Q370" s="15">
        <v>1</v>
      </c>
      <c r="R370" s="15">
        <v>3</v>
      </c>
      <c r="S370" s="15">
        <v>8</v>
      </c>
      <c r="T370" s="15">
        <v>15</v>
      </c>
      <c r="U370" s="15">
        <v>11</v>
      </c>
      <c r="V370" s="15">
        <f>12-2</f>
        <v>10</v>
      </c>
      <c r="W370" s="15">
        <v>12</v>
      </c>
      <c r="X370" s="15">
        <v>10</v>
      </c>
      <c r="Y370" s="15">
        <v>7</v>
      </c>
      <c r="Z370" s="34">
        <v>5</v>
      </c>
      <c r="AA370" s="17">
        <f t="shared" si="222"/>
        <v>-0.2857142857142857</v>
      </c>
      <c r="AB370" s="17">
        <f t="shared" si="247"/>
        <v>-0.54545454545454541</v>
      </c>
      <c r="AC370" s="17">
        <f t="shared" si="223"/>
        <v>0.66666666666666663</v>
      </c>
    </row>
    <row r="371" spans="1:29" outlineLevel="6" x14ac:dyDescent="0.2">
      <c r="A371" s="71" t="s">
        <v>424</v>
      </c>
      <c r="B371" s="36" t="s">
        <v>432</v>
      </c>
      <c r="C371" s="37" t="s">
        <v>432</v>
      </c>
      <c r="D371" s="20" t="s">
        <v>440</v>
      </c>
      <c r="E371" s="12">
        <v>90</v>
      </c>
      <c r="F371" s="33">
        <v>7500</v>
      </c>
      <c r="G371" s="101">
        <v>855</v>
      </c>
      <c r="H371" s="101">
        <v>961</v>
      </c>
      <c r="I371" s="101">
        <v>951</v>
      </c>
      <c r="J371" s="101">
        <v>926</v>
      </c>
      <c r="K371" s="101">
        <v>950</v>
      </c>
      <c r="L371" s="101">
        <v>891</v>
      </c>
      <c r="M371" s="101">
        <v>870</v>
      </c>
      <c r="N371" s="15">
        <v>905</v>
      </c>
      <c r="O371" s="15">
        <v>989</v>
      </c>
      <c r="P371" s="15">
        <v>971</v>
      </c>
      <c r="Q371" s="15">
        <v>972</v>
      </c>
      <c r="R371" s="15">
        <v>888</v>
      </c>
      <c r="S371" s="15">
        <v>936</v>
      </c>
      <c r="T371" s="15">
        <v>861</v>
      </c>
      <c r="U371" s="15">
        <v>586</v>
      </c>
      <c r="V371" s="15">
        <f>438-11</f>
        <v>427</v>
      </c>
      <c r="W371" s="15">
        <f>367-9</f>
        <v>358</v>
      </c>
      <c r="X371" s="15">
        <v>315</v>
      </c>
      <c r="Y371" s="15">
        <v>236</v>
      </c>
      <c r="Z371" s="34">
        <v>280</v>
      </c>
      <c r="AA371" s="17">
        <f t="shared" si="222"/>
        <v>0.1864406779661017</v>
      </c>
      <c r="AB371" s="17">
        <f t="shared" si="247"/>
        <v>-0.52218430034129693</v>
      </c>
      <c r="AC371" s="17">
        <f t="shared" si="223"/>
        <v>-0.71163748712667352</v>
      </c>
    </row>
    <row r="372" spans="1:29" ht="12.75" customHeight="1" outlineLevel="6" x14ac:dyDescent="0.2">
      <c r="A372" s="71" t="s">
        <v>424</v>
      </c>
      <c r="B372" s="36" t="s">
        <v>432</v>
      </c>
      <c r="C372" s="37" t="s">
        <v>432</v>
      </c>
      <c r="D372" s="20" t="s">
        <v>441</v>
      </c>
      <c r="E372" s="12"/>
      <c r="F372" s="33">
        <v>7501</v>
      </c>
      <c r="G372" s="13"/>
      <c r="H372" s="13"/>
      <c r="I372" s="13"/>
      <c r="J372" s="13"/>
      <c r="K372" s="13"/>
      <c r="L372" s="13"/>
      <c r="M372" s="13"/>
      <c r="N372" s="86"/>
      <c r="O372" s="87"/>
      <c r="P372" s="87"/>
      <c r="Q372" s="86"/>
      <c r="R372" s="15"/>
      <c r="S372" s="15"/>
      <c r="T372" s="15"/>
      <c r="U372" s="15">
        <v>103</v>
      </c>
      <c r="V372" s="14">
        <f>150-2</f>
        <v>148</v>
      </c>
      <c r="W372" s="14">
        <f>215-7</f>
        <v>208</v>
      </c>
      <c r="X372" s="14">
        <v>189</v>
      </c>
      <c r="Y372" s="14">
        <v>194</v>
      </c>
      <c r="Z372" s="65">
        <v>166</v>
      </c>
      <c r="AA372" s="17">
        <f t="shared" si="222"/>
        <v>-0.14432989690721648</v>
      </c>
      <c r="AB372" s="17">
        <f t="shared" si="247"/>
        <v>0.61165048543689315</v>
      </c>
      <c r="AC372" s="17" t="str">
        <f t="shared" si="223"/>
        <v/>
      </c>
    </row>
    <row r="373" spans="1:29" ht="12.75" customHeight="1" outlineLevel="6" x14ac:dyDescent="0.2">
      <c r="A373" s="35" t="s">
        <v>432</v>
      </c>
      <c r="B373" s="36" t="s">
        <v>432</v>
      </c>
      <c r="C373" s="37" t="s">
        <v>432</v>
      </c>
      <c r="D373" s="20" t="s">
        <v>442</v>
      </c>
      <c r="E373" s="12">
        <v>10</v>
      </c>
      <c r="F373" s="33"/>
      <c r="G373" s="13"/>
      <c r="H373" s="13"/>
      <c r="I373" s="13"/>
      <c r="J373" s="13"/>
      <c r="K373" s="13"/>
      <c r="L373" s="13"/>
      <c r="M373" s="13"/>
      <c r="N373" s="86"/>
      <c r="O373" s="87"/>
      <c r="P373" s="87"/>
      <c r="Q373" s="86"/>
      <c r="R373" s="15"/>
      <c r="S373" s="15"/>
      <c r="T373" s="15"/>
      <c r="U373" s="15"/>
      <c r="V373" s="14"/>
      <c r="W373" s="14"/>
      <c r="X373" s="14"/>
      <c r="Y373" s="14"/>
      <c r="Z373" s="65"/>
      <c r="AA373" s="17" t="str">
        <f t="shared" si="222"/>
        <v/>
      </c>
      <c r="AB373" s="17" t="str">
        <f t="shared" si="247"/>
        <v/>
      </c>
      <c r="AC373" s="17" t="str">
        <f t="shared" si="223"/>
        <v/>
      </c>
    </row>
    <row r="374" spans="1:29" ht="12.75" customHeight="1" outlineLevel="4" x14ac:dyDescent="0.2">
      <c r="A374" s="35"/>
      <c r="B374" s="39" t="s">
        <v>443</v>
      </c>
      <c r="C374" s="37"/>
      <c r="D374" s="20"/>
      <c r="E374" s="12"/>
      <c r="F374" s="33"/>
      <c r="G374" s="13">
        <f t="shared" ref="G374:M374" si="268">SUBTOTAL(9,G369:G373)</f>
        <v>855</v>
      </c>
      <c r="H374" s="13">
        <f t="shared" si="268"/>
        <v>961</v>
      </c>
      <c r="I374" s="13">
        <f t="shared" si="268"/>
        <v>951</v>
      </c>
      <c r="J374" s="13">
        <f t="shared" si="268"/>
        <v>926</v>
      </c>
      <c r="K374" s="13">
        <f t="shared" si="268"/>
        <v>950</v>
      </c>
      <c r="L374" s="13">
        <f t="shared" si="268"/>
        <v>891</v>
      </c>
      <c r="M374" s="13">
        <f t="shared" si="268"/>
        <v>870</v>
      </c>
      <c r="N374" s="14">
        <f t="shared" ref="N374:W374" si="269">SUBTOTAL(9,N369:N373)</f>
        <v>905</v>
      </c>
      <c r="O374" s="14">
        <f t="shared" si="269"/>
        <v>989</v>
      </c>
      <c r="P374" s="14">
        <f t="shared" si="269"/>
        <v>974</v>
      </c>
      <c r="Q374" s="14">
        <f t="shared" si="269"/>
        <v>977</v>
      </c>
      <c r="R374" s="15">
        <f t="shared" si="269"/>
        <v>894</v>
      </c>
      <c r="S374" s="15">
        <f t="shared" si="269"/>
        <v>946</v>
      </c>
      <c r="T374" s="15">
        <f t="shared" si="269"/>
        <v>878</v>
      </c>
      <c r="U374" s="15">
        <f t="shared" si="269"/>
        <v>702</v>
      </c>
      <c r="V374" s="14">
        <f t="shared" si="269"/>
        <v>585</v>
      </c>
      <c r="W374" s="14">
        <f t="shared" si="269"/>
        <v>578</v>
      </c>
      <c r="X374" s="14">
        <f t="shared" ref="X374:Y374" si="270">SUBTOTAL(9,X369:X373)</f>
        <v>515</v>
      </c>
      <c r="Y374" s="14">
        <f t="shared" si="270"/>
        <v>437</v>
      </c>
      <c r="Z374" s="65">
        <f t="shared" ref="Z374" si="271">SUBTOTAL(9,Z369:Z373)</f>
        <v>451</v>
      </c>
      <c r="AA374" s="17">
        <f t="shared" si="222"/>
        <v>3.2036613272311214E-2</v>
      </c>
      <c r="AB374" s="17">
        <f t="shared" si="247"/>
        <v>-0.35754985754985757</v>
      </c>
      <c r="AC374" s="17">
        <f t="shared" si="223"/>
        <v>-0.53696098562628336</v>
      </c>
    </row>
    <row r="375" spans="1:29" s="44" customFormat="1" ht="12.75" customHeight="1" outlineLevel="3" x14ac:dyDescent="0.2">
      <c r="A375" s="38" t="s">
        <v>443</v>
      </c>
      <c r="B375" s="39"/>
      <c r="C375" s="40"/>
      <c r="D375" s="24"/>
      <c r="E375" s="25"/>
      <c r="F375" s="41"/>
      <c r="G375" s="26">
        <f t="shared" ref="G375:M375" si="272">SUBTOTAL(9,G367:G373)</f>
        <v>1289</v>
      </c>
      <c r="H375" s="26">
        <f t="shared" si="272"/>
        <v>1526</v>
      </c>
      <c r="I375" s="26">
        <f t="shared" si="272"/>
        <v>1510</v>
      </c>
      <c r="J375" s="26">
        <f t="shared" si="272"/>
        <v>1479</v>
      </c>
      <c r="K375" s="26">
        <f t="shared" si="272"/>
        <v>1421</v>
      </c>
      <c r="L375" s="26">
        <f t="shared" si="272"/>
        <v>1369</v>
      </c>
      <c r="M375" s="26">
        <f t="shared" si="272"/>
        <v>1342</v>
      </c>
      <c r="N375" s="27">
        <f t="shared" ref="N375:W375" si="273">SUBTOTAL(9,N367:N373)</f>
        <v>1374</v>
      </c>
      <c r="O375" s="27">
        <f t="shared" si="273"/>
        <v>1430</v>
      </c>
      <c r="P375" s="27">
        <f t="shared" si="273"/>
        <v>1353</v>
      </c>
      <c r="Q375" s="27">
        <f t="shared" si="273"/>
        <v>1457</v>
      </c>
      <c r="R375" s="28">
        <f t="shared" si="273"/>
        <v>1303</v>
      </c>
      <c r="S375" s="28">
        <f t="shared" si="273"/>
        <v>1361</v>
      </c>
      <c r="T375" s="28">
        <f t="shared" si="273"/>
        <v>1277</v>
      </c>
      <c r="U375" s="28">
        <f t="shared" si="273"/>
        <v>1135</v>
      </c>
      <c r="V375" s="27">
        <f t="shared" si="273"/>
        <v>964</v>
      </c>
      <c r="W375" s="27">
        <f t="shared" si="273"/>
        <v>976</v>
      </c>
      <c r="X375" s="27">
        <f t="shared" ref="X375" si="274">SUBTOTAL(9,X367:X373)</f>
        <v>835</v>
      </c>
      <c r="Y375" s="27">
        <f>SUBTOTAL(9,Y367:Y373)</f>
        <v>773</v>
      </c>
      <c r="Z375" s="73">
        <f>SUBTOTAL(9,Z367:Z373)</f>
        <v>772</v>
      </c>
      <c r="AA375" s="17">
        <f t="shared" si="222"/>
        <v>-1.29366106080207E-3</v>
      </c>
      <c r="AB375" s="17">
        <f t="shared" si="247"/>
        <v>-0.31982378854625548</v>
      </c>
      <c r="AC375" s="17">
        <f t="shared" si="223"/>
        <v>-0.42941611234294164</v>
      </c>
    </row>
    <row r="376" spans="1:29" ht="12.75" customHeight="1" outlineLevel="3" x14ac:dyDescent="0.2">
      <c r="A376" s="35"/>
      <c r="B376" s="36"/>
      <c r="C376" s="37"/>
      <c r="D376" s="20" t="s">
        <v>444</v>
      </c>
      <c r="E376" s="12"/>
      <c r="F376" s="33">
        <v>9000</v>
      </c>
      <c r="G376" s="13"/>
      <c r="H376" s="13">
        <v>10</v>
      </c>
      <c r="I376" s="13">
        <v>17</v>
      </c>
      <c r="J376" s="13">
        <v>15</v>
      </c>
      <c r="K376" s="13">
        <v>13</v>
      </c>
      <c r="L376" s="13"/>
      <c r="M376" s="13"/>
      <c r="N376" s="14">
        <v>0</v>
      </c>
      <c r="O376" s="14">
        <v>0</v>
      </c>
      <c r="P376" s="14">
        <v>0</v>
      </c>
      <c r="Q376" s="14">
        <v>0</v>
      </c>
      <c r="R376" s="15"/>
      <c r="S376" s="15"/>
      <c r="T376" s="15"/>
      <c r="U376" s="15"/>
      <c r="V376" s="14"/>
      <c r="W376" s="14"/>
      <c r="X376" s="14"/>
      <c r="Y376" s="14"/>
      <c r="Z376" s="65"/>
      <c r="AA376" s="17" t="str">
        <f t="shared" si="222"/>
        <v/>
      </c>
      <c r="AB376" s="17" t="str">
        <f t="shared" si="247"/>
        <v/>
      </c>
      <c r="AC376" s="17" t="str">
        <f t="shared" si="223"/>
        <v/>
      </c>
    </row>
    <row r="377" spans="1:29" s="88" customFormat="1" ht="15" outlineLevel="3" x14ac:dyDescent="0.25">
      <c r="A377" s="88" t="s">
        <v>445</v>
      </c>
      <c r="D377" s="89"/>
      <c r="E377" s="89"/>
      <c r="F377" s="90"/>
      <c r="G377" s="107">
        <f t="shared" ref="G377:X377" si="275">SUBTOTAL(9,G2:G376)</f>
        <v>11332</v>
      </c>
      <c r="H377" s="107">
        <f t="shared" si="275"/>
        <v>11730</v>
      </c>
      <c r="I377" s="107">
        <f t="shared" si="275"/>
        <v>12249</v>
      </c>
      <c r="J377" s="107">
        <f t="shared" si="275"/>
        <v>12393</v>
      </c>
      <c r="K377" s="107">
        <f t="shared" si="275"/>
        <v>12727</v>
      </c>
      <c r="L377" s="107">
        <f t="shared" si="275"/>
        <v>12825</v>
      </c>
      <c r="M377" s="107">
        <f t="shared" si="275"/>
        <v>13135</v>
      </c>
      <c r="N377" s="91">
        <f t="shared" si="275"/>
        <v>13373</v>
      </c>
      <c r="O377" s="91">
        <f t="shared" si="275"/>
        <v>13731</v>
      </c>
      <c r="P377" s="28">
        <f t="shared" si="275"/>
        <v>14106</v>
      </c>
      <c r="Q377" s="28">
        <f t="shared" si="275"/>
        <v>14861</v>
      </c>
      <c r="R377" s="28">
        <f t="shared" si="275"/>
        <v>15150</v>
      </c>
      <c r="S377" s="28">
        <f t="shared" si="275"/>
        <v>15473</v>
      </c>
      <c r="T377" s="28">
        <f t="shared" si="275"/>
        <v>15816</v>
      </c>
      <c r="U377" s="28">
        <f t="shared" si="275"/>
        <v>16272</v>
      </c>
      <c r="V377" s="28">
        <f t="shared" si="275"/>
        <v>16509</v>
      </c>
      <c r="W377" s="28">
        <f t="shared" si="275"/>
        <v>16793</v>
      </c>
      <c r="X377" s="28">
        <f t="shared" si="275"/>
        <v>16568</v>
      </c>
      <c r="Y377" s="28">
        <f>SUBTOTAL(9,Y2:Y376)</f>
        <v>15901</v>
      </c>
      <c r="Z377" s="73">
        <f>SUBTOTAL(9,Z2:Z376)</f>
        <v>15799</v>
      </c>
      <c r="AA377" s="17">
        <f t="shared" si="222"/>
        <v>-6.4146908999434E-3</v>
      </c>
      <c r="AB377" s="17">
        <f t="shared" si="247"/>
        <v>-2.9068338249754178E-2</v>
      </c>
      <c r="AC377" s="17">
        <f t="shared" si="223"/>
        <v>0.12001984970934354</v>
      </c>
    </row>
    <row r="379" spans="1:29" x14ac:dyDescent="0.2">
      <c r="P379" s="94">
        <v>14106</v>
      </c>
      <c r="Q379" s="95">
        <v>14861</v>
      </c>
      <c r="R379" s="95">
        <v>15150</v>
      </c>
      <c r="S379" s="95">
        <v>15473</v>
      </c>
      <c r="T379" s="95">
        <v>15816</v>
      </c>
      <c r="U379" s="95">
        <v>16272</v>
      </c>
      <c r="V379" s="95">
        <v>16509</v>
      </c>
      <c r="W379" s="95">
        <v>16793</v>
      </c>
      <c r="X379" s="95">
        <v>16568</v>
      </c>
      <c r="Y379" s="95">
        <v>15901</v>
      </c>
    </row>
  </sheetData>
  <pageMargins left="0.53" right="0.25" top="0.73" bottom="0.57999999999999996" header="0.25" footer="0.25"/>
  <pageSetup scale="79" orientation="portrait" verticalDpi="300" r:id="rId1"/>
  <headerFooter alignWithMargins="0">
    <oddHeader>&amp;C&amp;"Times New Roman,Bold"&amp;12Undergraduate Enrollment by Program - Fall 2006-20010</oddHeader>
    <oddFooter>&amp;L&amp;8OIRA &amp;D, Undergraduate Enrollment by Program&amp;R&amp;P</oddFooter>
  </headerFooter>
  <rowBreaks count="1" manualBreakCount="1"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Enrollment by Undergrad Major</vt:lpstr>
      <vt:lpstr>'Enrollment by Undergrad Major'!Print_Area</vt:lpstr>
      <vt:lpstr>'Enrollment by Undergrad Major'!Print_Titles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2016-02-17T15:59:19Z</dcterms:created>
  <dcterms:modified xsi:type="dcterms:W3CDTF">2018-10-05T14:23:11Z</dcterms:modified>
</cp:coreProperties>
</file>